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N:\State Aid\1. State Aid Calculations\FY2025 State Aid\Budget Documents\"/>
    </mc:Choice>
  </mc:AlternateContent>
  <xr:revisionPtr revIDLastSave="0" documentId="8_{8AF40F4E-F9FF-4170-A955-DB2B7F55E097}" xr6:coauthVersionLast="47" xr6:coauthVersionMax="47" xr10:uidLastSave="{00000000-0000-0000-0000-000000000000}"/>
  <bookViews>
    <workbookView xWindow="-108" yWindow="-108" windowWidth="23256" windowHeight="12456" tabRatio="724" xr2:uid="{00000000-000D-0000-FFFF-FFFF00000000}"/>
  </bookViews>
  <sheets>
    <sheet name="GSA Estimate Calculator" sheetId="1" r:id="rId1"/>
    <sheet name="COMPARE" sheetId="22" r:id="rId2"/>
    <sheet name="DistrictList" sheetId="21" state="hidden" r:id="rId3"/>
    <sheet name="SAFE History" sheetId="10" r:id="rId4"/>
    <sheet name="OtherRevenueLocalEffortFY25" sheetId="36" r:id="rId5"/>
    <sheet name="Pay 2024" sheetId="34" r:id="rId6"/>
    <sheet name="FY2024" sheetId="35" state="hidden" r:id="rId7"/>
  </sheets>
  <externalReferences>
    <externalReference r:id="rId8"/>
    <externalReference r:id="rId9"/>
    <externalReference r:id="rId10"/>
  </externalReferences>
  <definedNames>
    <definedName name="_51002" localSheetId="1">[1]Districts!#REF!</definedName>
    <definedName name="_51002" localSheetId="4">[1]Districts!#REF!</definedName>
    <definedName name="_51002" localSheetId="3">[1]Districts!#REF!</definedName>
    <definedName name="_51002">[1]Districts!#REF!</definedName>
    <definedName name="_xlnm._FilterDatabase" localSheetId="6" hidden="1">'FY2024'!$A$5:$R$156</definedName>
    <definedName name="_xlnm._FilterDatabase" localSheetId="4" hidden="1">OtherRevenueLocalEffortFY25!$A$4:$L$153</definedName>
    <definedName name="_xlnm._FilterDatabase" localSheetId="3" hidden="1">'SAFE History'!$A$2:$H$150</definedName>
    <definedName name="_Key1" localSheetId="1" hidden="1">#REF!</definedName>
    <definedName name="_Key1" localSheetId="6" hidden="1">#REF!</definedName>
    <definedName name="_Key1" localSheetId="4" hidden="1">#REF!</definedName>
    <definedName name="_Key1" localSheetId="5" hidden="1">#REF!</definedName>
    <definedName name="_Key1" localSheetId="3" hidden="1">#REF!</definedName>
    <definedName name="_Key1" hidden="1">#REF!</definedName>
    <definedName name="_Order1" hidden="1">255</definedName>
    <definedName name="_Sort" localSheetId="1" hidden="1">#REF!</definedName>
    <definedName name="_Sort" localSheetId="6" hidden="1">#REF!</definedName>
    <definedName name="_Sort" localSheetId="4" hidden="1">#REF!</definedName>
    <definedName name="_Sort" localSheetId="5" hidden="1">#REF!</definedName>
    <definedName name="_Sort" localSheetId="3" hidden="1">#REF!</definedName>
    <definedName name="_Sort" hidden="1">#REF!</definedName>
    <definedName name="Acc_Enrollment" localSheetId="1">#REF!</definedName>
    <definedName name="Acc_Enrollment" localSheetId="6">#REF!</definedName>
    <definedName name="Acc_Enrollment" localSheetId="4">#REF!</definedName>
    <definedName name="Acc_Enrollment" localSheetId="5">#REF!</definedName>
    <definedName name="Acc_Enrollment" localSheetId="3">#REF!</definedName>
    <definedName name="Acc_Enrollment">#REF!</definedName>
    <definedName name="ACT_COMPOSITE" localSheetId="1">#REF!</definedName>
    <definedName name="ACT_COMPOSITE" localSheetId="6">#REF!</definedName>
    <definedName name="ACT_COMPOSITE" localSheetId="4">#REF!</definedName>
    <definedName name="ACT_COMPOSITE" localSheetId="5">#REF!</definedName>
    <definedName name="ACT_COMPOSITE" localSheetId="3">#REF!</definedName>
    <definedName name="ACT_COMPOSITE">#REF!</definedName>
    <definedName name="ACT_NUMBER_TESTED" localSheetId="1">#REF!</definedName>
    <definedName name="ACT_NUMBER_TESTED" localSheetId="6">#REF!</definedName>
    <definedName name="ACT_NUMBER_TESTED" localSheetId="4">#REF!</definedName>
    <definedName name="ACT_NUMBER_TESTED" localSheetId="5">#REF!</definedName>
    <definedName name="ACT_NUMBER_TESTED" localSheetId="3">#REF!</definedName>
    <definedName name="ACT_NUMBER_TESTED">#REF!</definedName>
    <definedName name="All_Other" localSheetId="1">#REF!</definedName>
    <definedName name="All_Other" localSheetId="6">#REF!</definedName>
    <definedName name="All_Other" localSheetId="4">#REF!</definedName>
    <definedName name="All_Other" localSheetId="5">#REF!</definedName>
    <definedName name="All_Other" localSheetId="3">#REF!</definedName>
    <definedName name="All_Other">#REF!</definedName>
    <definedName name="ATTENDANCE_RATES" localSheetId="1">#REF!</definedName>
    <definedName name="ATTENDANCE_RATES" localSheetId="6">#REF!</definedName>
    <definedName name="ATTENDANCE_RATES" localSheetId="4">#REF!</definedName>
    <definedName name="ATTENDANCE_RATES" localSheetId="5">#REF!</definedName>
    <definedName name="ATTENDANCE_RATES" localSheetId="3">#REF!</definedName>
    <definedName name="ATTENDANCE_RATES">#REF!</definedName>
    <definedName name="Average_Daily_Attendance" localSheetId="1">#REF!</definedName>
    <definedName name="Average_Daily_Attendance" localSheetId="6">#REF!</definedName>
    <definedName name="Average_Daily_Attendance" localSheetId="4">#REF!</definedName>
    <definedName name="Average_Daily_Attendance" localSheetId="5">#REF!</definedName>
    <definedName name="Average_Daily_Attendance" localSheetId="3">#REF!</definedName>
    <definedName name="Average_Daily_Attendance">#REF!</definedName>
    <definedName name="Average_Daily_Membership" localSheetId="1">#REF!</definedName>
    <definedName name="Average_Daily_Membership" localSheetId="6">#REF!</definedName>
    <definedName name="Average_Daily_Membership" localSheetId="4">#REF!</definedName>
    <definedName name="Average_Daily_Membership" localSheetId="5">#REF!</definedName>
    <definedName name="Average_Daily_Membership" localSheetId="3">#REF!</definedName>
    <definedName name="Average_Daily_Membership">#REF!</definedName>
    <definedName name="Average_District_Salary" localSheetId="1">#REF!</definedName>
    <definedName name="Average_District_Salary" localSheetId="6">#REF!</definedName>
    <definedName name="Average_District_Salary" localSheetId="4">#REF!</definedName>
    <definedName name="Average_District_Salary" localSheetId="5">#REF!</definedName>
    <definedName name="Average_District_Salary" localSheetId="3">#REF!</definedName>
    <definedName name="Average_District_Salary">#REF!</definedName>
    <definedName name="Average_Local_Exper" localSheetId="1">#REF!</definedName>
    <definedName name="Average_Local_Exper" localSheetId="6">#REF!</definedName>
    <definedName name="Average_Local_Exper" localSheetId="4">#REF!</definedName>
    <definedName name="Average_Local_Exper" localSheetId="5">#REF!</definedName>
    <definedName name="Average_Local_Exper" localSheetId="3">#REF!</definedName>
    <definedName name="Average_Local_Exper">#REF!</definedName>
    <definedName name="AVERAGE_SCHOOL_SALARY" localSheetId="1">#REF!</definedName>
    <definedName name="AVERAGE_SCHOOL_SALARY" localSheetId="6">#REF!</definedName>
    <definedName name="AVERAGE_SCHOOL_SALARY" localSheetId="4">#REF!</definedName>
    <definedName name="AVERAGE_SCHOOL_SALARY" localSheetId="5">#REF!</definedName>
    <definedName name="AVERAGE_SCHOOL_SALARY" localSheetId="3">#REF!</definedName>
    <definedName name="AVERAGE_SCHOOL_SALARY">#REF!</definedName>
    <definedName name="Average_Total_Exper" localSheetId="1">#REF!</definedName>
    <definedName name="Average_Total_Exper" localSheetId="6">#REF!</definedName>
    <definedName name="Average_Total_Exper" localSheetId="4">#REF!</definedName>
    <definedName name="Average_Total_Exper" localSheetId="5">#REF!</definedName>
    <definedName name="Average_Total_Exper" localSheetId="3">#REF!</definedName>
    <definedName name="Average_Total_Exper">#REF!</definedName>
    <definedName name="Counselor_FTE" localSheetId="1">#REF!</definedName>
    <definedName name="Counselor_FTE" localSheetId="6">#REF!</definedName>
    <definedName name="Counselor_FTE" localSheetId="4">#REF!</definedName>
    <definedName name="Counselor_FTE" localSheetId="5">#REF!</definedName>
    <definedName name="Counselor_FTE" localSheetId="3">#REF!</definedName>
    <definedName name="Counselor_FTE">#REF!</definedName>
    <definedName name="Counselor_Ratio" localSheetId="1">#REF!</definedName>
    <definedName name="Counselor_Ratio" localSheetId="6">#REF!</definedName>
    <definedName name="Counselor_Ratio" localSheetId="4">#REF!</definedName>
    <definedName name="Counselor_Ratio" localSheetId="5">#REF!</definedName>
    <definedName name="Counselor_Ratio" localSheetId="3">#REF!</definedName>
    <definedName name="Counselor_Ratio">#REF!</definedName>
    <definedName name="County_Gen_Fund_Revenue" localSheetId="1">#REF!</definedName>
    <definedName name="County_Gen_Fund_Revenue" localSheetId="6">#REF!</definedName>
    <definedName name="County_Gen_Fund_Revenue" localSheetId="4">#REF!</definedName>
    <definedName name="County_Gen_Fund_Revenue" localSheetId="5">#REF!</definedName>
    <definedName name="County_Gen_Fund_Revenue" localSheetId="3">#REF!</definedName>
    <definedName name="County_Gen_Fund_Revenue">#REF!</definedName>
    <definedName name="County_Spec_Fund_Revenue" localSheetId="1">#REF!</definedName>
    <definedName name="County_Spec_Fund_Revenue" localSheetId="6">#REF!</definedName>
    <definedName name="County_Spec_Fund_Revenue" localSheetId="4">#REF!</definedName>
    <definedName name="County_Spec_Fund_Revenue" localSheetId="5">#REF!</definedName>
    <definedName name="County_Spec_Fund_Revenue" localSheetId="3">#REF!</definedName>
    <definedName name="County_Spec_Fund_Revenue">#REF!</definedName>
    <definedName name="_xlnm.Criteria" localSheetId="1">#REF!</definedName>
    <definedName name="_xlnm.Criteria" localSheetId="6">#REF!</definedName>
    <definedName name="_xlnm.Criteria" localSheetId="4">#REF!</definedName>
    <definedName name="_xlnm.Criteria" localSheetId="5">#REF!</definedName>
    <definedName name="_xlnm.Criteria" localSheetId="3">#REF!</definedName>
    <definedName name="_xlnm.Criteria">#REF!</definedName>
    <definedName name="Cur_Select_01" localSheetId="1">#REF!</definedName>
    <definedName name="Cur_Select_01" localSheetId="6">#REF!</definedName>
    <definedName name="Cur_Select_01" localSheetId="4">#REF!</definedName>
    <definedName name="Cur_Select_01" localSheetId="5">#REF!</definedName>
    <definedName name="Cur_Select_01" localSheetId="3">#REF!</definedName>
    <definedName name="Cur_Select_01">#REF!</definedName>
    <definedName name="Cur_Select_02" localSheetId="1">#REF!</definedName>
    <definedName name="Cur_Select_02" localSheetId="6">#REF!</definedName>
    <definedName name="Cur_Select_02" localSheetId="4">#REF!</definedName>
    <definedName name="Cur_Select_02" localSheetId="5">#REF!</definedName>
    <definedName name="Cur_Select_02" localSheetId="3">#REF!</definedName>
    <definedName name="Cur_Select_02">#REF!</definedName>
    <definedName name="_xlnm.Database" localSheetId="1">#REF!</definedName>
    <definedName name="_xlnm.Database" localSheetId="6">#REF!</definedName>
    <definedName name="_xlnm.Database" localSheetId="4">#REF!</definedName>
    <definedName name="_xlnm.Database" localSheetId="5">#REF!</definedName>
    <definedName name="_xlnm.Database" localSheetId="3">#REF!</definedName>
    <definedName name="_xlnm.Database">#REF!</definedName>
    <definedName name="Database2" localSheetId="1">#REF!</definedName>
    <definedName name="Database2" localSheetId="6">#REF!</definedName>
    <definedName name="Database2" localSheetId="4">#REF!</definedName>
    <definedName name="Database2" localSheetId="5">#REF!</definedName>
    <definedName name="Database2" localSheetId="3">#REF!</definedName>
    <definedName name="Database2">#REF!</definedName>
    <definedName name="District" localSheetId="1">#REF!</definedName>
    <definedName name="District" localSheetId="6">#REF!</definedName>
    <definedName name="District" localSheetId="4">#REF!</definedName>
    <definedName name="District" localSheetId="5">#REF!</definedName>
    <definedName name="District" localSheetId="3">#REF!</definedName>
    <definedName name="District">'GSA Estimate Calculator'!$B$2:$B$144</definedName>
    <definedName name="District_Attendance_Rate" localSheetId="1">#REF!</definedName>
    <definedName name="District_Attendance_Rate" localSheetId="6">#REF!</definedName>
    <definedName name="District_Attendance_Rate" localSheetId="4">#REF!</definedName>
    <definedName name="District_Attendance_Rate" localSheetId="5">#REF!</definedName>
    <definedName name="District_Attendance_Rate" localSheetId="3">#REF!</definedName>
    <definedName name="District_Attendance_Rate">#REF!</definedName>
    <definedName name="District_Code" localSheetId="1">#REF!</definedName>
    <definedName name="District_Code" localSheetId="6">#REF!</definedName>
    <definedName name="District_Code" localSheetId="4">#REF!</definedName>
    <definedName name="District_Code" localSheetId="5">#REF!</definedName>
    <definedName name="District_Code" localSheetId="3">#REF!</definedName>
    <definedName name="District_Code">#REF!</definedName>
    <definedName name="District_Name" localSheetId="1">#REF!</definedName>
    <definedName name="District_Name" localSheetId="6">#REF!</definedName>
    <definedName name="District_Name" localSheetId="4">#REF!</definedName>
    <definedName name="District_Name" localSheetId="5">#REF!</definedName>
    <definedName name="District_Name" localSheetId="3">#REF!</definedName>
    <definedName name="District_Name">#REF!</definedName>
    <definedName name="DROPOUTS" localSheetId="1">#REF!</definedName>
    <definedName name="DROPOUTS" localSheetId="6">#REF!</definedName>
    <definedName name="DROPOUTS" localSheetId="4">#REF!</definedName>
    <definedName name="DROPOUTS" localSheetId="5">#REF!</definedName>
    <definedName name="DROPOUTS" localSheetId="3">#REF!</definedName>
    <definedName name="DROPOUTS">#REF!</definedName>
    <definedName name="Dropouts_Rate_10" localSheetId="1">#REF!</definedName>
    <definedName name="Dropouts_Rate_10" localSheetId="6">#REF!</definedName>
    <definedName name="Dropouts_Rate_10" localSheetId="4">#REF!</definedName>
    <definedName name="Dropouts_Rate_10" localSheetId="5">#REF!</definedName>
    <definedName name="Dropouts_Rate_10" localSheetId="3">#REF!</definedName>
    <definedName name="Dropouts_Rate_10">#REF!</definedName>
    <definedName name="Dropouts_Rate_11" localSheetId="1">#REF!</definedName>
    <definedName name="Dropouts_Rate_11" localSheetId="6">#REF!</definedName>
    <definedName name="Dropouts_Rate_11" localSheetId="4">#REF!</definedName>
    <definedName name="Dropouts_Rate_11" localSheetId="5">#REF!</definedName>
    <definedName name="Dropouts_Rate_11" localSheetId="3">#REF!</definedName>
    <definedName name="Dropouts_Rate_11">#REF!</definedName>
    <definedName name="Dropouts_Rate_12" localSheetId="1">#REF!</definedName>
    <definedName name="Dropouts_Rate_12" localSheetId="6">#REF!</definedName>
    <definedName name="Dropouts_Rate_12" localSheetId="4">#REF!</definedName>
    <definedName name="Dropouts_Rate_12" localSheetId="5">#REF!</definedName>
    <definedName name="Dropouts_Rate_12" localSheetId="3">#REF!</definedName>
    <definedName name="Dropouts_Rate_12">#REF!</definedName>
    <definedName name="Dropouts_Rate_7" localSheetId="1">#REF!</definedName>
    <definedName name="Dropouts_Rate_7" localSheetId="6">#REF!</definedName>
    <definedName name="Dropouts_Rate_7" localSheetId="4">#REF!</definedName>
    <definedName name="Dropouts_Rate_7" localSheetId="5">#REF!</definedName>
    <definedName name="Dropouts_Rate_7" localSheetId="3">#REF!</definedName>
    <definedName name="Dropouts_Rate_7">#REF!</definedName>
    <definedName name="Dropouts_Rate_8" localSheetId="1">#REF!</definedName>
    <definedName name="Dropouts_Rate_8" localSheetId="6">#REF!</definedName>
    <definedName name="Dropouts_Rate_8" localSheetId="4">#REF!</definedName>
    <definedName name="Dropouts_Rate_8" localSheetId="5">#REF!</definedName>
    <definedName name="Dropouts_Rate_8" localSheetId="3">#REF!</definedName>
    <definedName name="Dropouts_Rate_8">#REF!</definedName>
    <definedName name="Dropouts_Rate_9" localSheetId="1">#REF!</definedName>
    <definedName name="Dropouts_Rate_9" localSheetId="6">#REF!</definedName>
    <definedName name="Dropouts_Rate_9" localSheetId="4">#REF!</definedName>
    <definedName name="Dropouts_Rate_9" localSheetId="5">#REF!</definedName>
    <definedName name="Dropouts_Rate_9" localSheetId="3">#REF!</definedName>
    <definedName name="Dropouts_Rate_9">#REF!</definedName>
    <definedName name="DUX" localSheetId="1">#REF!</definedName>
    <definedName name="DUX" localSheetId="6">#REF!</definedName>
    <definedName name="DUX" localSheetId="4">#REF!</definedName>
    <definedName name="DUX" localSheetId="5">#REF!</definedName>
    <definedName name="DUX" localSheetId="3">#REF!</definedName>
    <definedName name="DUX">#REF!</definedName>
    <definedName name="Employee_Benefits" localSheetId="1">#REF!</definedName>
    <definedName name="Employee_Benefits" localSheetId="6">#REF!</definedName>
    <definedName name="Employee_Benefits" localSheetId="4">#REF!</definedName>
    <definedName name="Employee_Benefits" localSheetId="5">#REF!</definedName>
    <definedName name="Employee_Benefits" localSheetId="3">#REF!</definedName>
    <definedName name="Employee_Benefits">#REF!</definedName>
    <definedName name="Employee_Salaries" localSheetId="1">#REF!</definedName>
    <definedName name="Employee_Salaries" localSheetId="6">#REF!</definedName>
    <definedName name="Employee_Salaries" localSheetId="4">#REF!</definedName>
    <definedName name="Employee_Salaries" localSheetId="5">#REF!</definedName>
    <definedName name="Employee_Salaries" localSheetId="3">#REF!</definedName>
    <definedName name="Employee_Salaries">#REF!</definedName>
    <definedName name="End_Year_Enrollment" localSheetId="1">#REF!</definedName>
    <definedName name="End_Year_Enrollment" localSheetId="6">#REF!</definedName>
    <definedName name="End_Year_Enrollment" localSheetId="4">#REF!</definedName>
    <definedName name="End_Year_Enrollment" localSheetId="5">#REF!</definedName>
    <definedName name="End_Year_Enrollment" localSheetId="3">#REF!</definedName>
    <definedName name="End_Year_Enrollment">#REF!</definedName>
    <definedName name="Expend_Per_Pupil" localSheetId="1">#REF!</definedName>
    <definedName name="Expend_Per_Pupil" localSheetId="6">#REF!</definedName>
    <definedName name="Expend_Per_Pupil" localSheetId="4">#REF!</definedName>
    <definedName name="Expend_Per_Pupil" localSheetId="5">#REF!</definedName>
    <definedName name="Expend_Per_Pupil" localSheetId="3">#REF!</definedName>
    <definedName name="Expend_Per_Pupil">#REF!</definedName>
    <definedName name="FALL_ENROLLMENT" localSheetId="1">#REF!</definedName>
    <definedName name="FALL_ENROLLMENT" localSheetId="6">#REF!</definedName>
    <definedName name="FALL_ENROLLMENT" localSheetId="4">#REF!</definedName>
    <definedName name="FALL_ENROLLMENT" localSheetId="5">#REF!</definedName>
    <definedName name="FALL_ENROLLMENT" localSheetId="3">#REF!</definedName>
    <definedName name="FALL_ENROLLMENT">#REF!</definedName>
    <definedName name="Federal_Gen_Fund_Revenue" localSheetId="1">#REF!</definedName>
    <definedName name="Federal_Gen_Fund_Revenue" localSheetId="6">#REF!</definedName>
    <definedName name="Federal_Gen_Fund_Revenue" localSheetId="4">#REF!</definedName>
    <definedName name="Federal_Gen_Fund_Revenue" localSheetId="5">#REF!</definedName>
    <definedName name="Federal_Gen_Fund_Revenue" localSheetId="3">#REF!</definedName>
    <definedName name="Federal_Gen_Fund_Revenue">#REF!</definedName>
    <definedName name="Federal_Spec_Fund_Revenue" localSheetId="1">#REF!</definedName>
    <definedName name="Federal_Spec_Fund_Revenue" localSheetId="6">#REF!</definedName>
    <definedName name="Federal_Spec_Fund_Revenue" localSheetId="4">#REF!</definedName>
    <definedName name="Federal_Spec_Fund_Revenue" localSheetId="5">#REF!</definedName>
    <definedName name="Federal_Spec_Fund_Revenue" localSheetId="3">#REF!</definedName>
    <definedName name="Federal_Spec_Fund_Revenue">#REF!</definedName>
    <definedName name="Fill1" localSheetId="1">#REF!</definedName>
    <definedName name="Fill1" localSheetId="6">#REF!</definedName>
    <definedName name="Fill1" localSheetId="4">#REF!</definedName>
    <definedName name="Fill1" localSheetId="5">#REF!</definedName>
    <definedName name="Fill1" localSheetId="3">#REF!</definedName>
    <definedName name="Fill1">#REF!</definedName>
    <definedName name="Fill10" localSheetId="1">#REF!</definedName>
    <definedName name="Fill10" localSheetId="6">#REF!</definedName>
    <definedName name="Fill10" localSheetId="4">#REF!</definedName>
    <definedName name="Fill10" localSheetId="5">#REF!</definedName>
    <definedName name="Fill10" localSheetId="3">#REF!</definedName>
    <definedName name="Fill10">#REF!</definedName>
    <definedName name="Fill11" localSheetId="1">#REF!</definedName>
    <definedName name="Fill11" localSheetId="6">#REF!</definedName>
    <definedName name="Fill11" localSheetId="4">#REF!</definedName>
    <definedName name="Fill11" localSheetId="5">#REF!</definedName>
    <definedName name="Fill11" localSheetId="3">#REF!</definedName>
    <definedName name="Fill11">#REF!</definedName>
    <definedName name="Fill12" localSheetId="1">#REF!</definedName>
    <definedName name="Fill12" localSheetId="6">#REF!</definedName>
    <definedName name="Fill12" localSheetId="4">#REF!</definedName>
    <definedName name="Fill12" localSheetId="5">#REF!</definedName>
    <definedName name="Fill12" localSheetId="3">#REF!</definedName>
    <definedName name="Fill12">#REF!</definedName>
    <definedName name="Fill13" localSheetId="1">#REF!</definedName>
    <definedName name="Fill13" localSheetId="6">#REF!</definedName>
    <definedName name="Fill13" localSheetId="4">#REF!</definedName>
    <definedName name="Fill13" localSheetId="5">#REF!</definedName>
    <definedName name="Fill13" localSheetId="3">#REF!</definedName>
    <definedName name="Fill13">#REF!</definedName>
    <definedName name="Fill14" localSheetId="1">#REF!</definedName>
    <definedName name="Fill14" localSheetId="6">#REF!</definedName>
    <definedName name="Fill14" localSheetId="4">#REF!</definedName>
    <definedName name="Fill14" localSheetId="5">#REF!</definedName>
    <definedName name="Fill14" localSheetId="3">#REF!</definedName>
    <definedName name="Fill14">#REF!</definedName>
    <definedName name="Fill15" localSheetId="1">#REF!</definedName>
    <definedName name="Fill15" localSheetId="6">#REF!</definedName>
    <definedName name="Fill15" localSheetId="4">#REF!</definedName>
    <definedName name="Fill15" localSheetId="5">#REF!</definedName>
    <definedName name="Fill15" localSheetId="3">#REF!</definedName>
    <definedName name="Fill15">#REF!</definedName>
    <definedName name="Fill16" localSheetId="1">#REF!</definedName>
    <definedName name="Fill16" localSheetId="6">#REF!</definedName>
    <definedName name="Fill16" localSheetId="4">#REF!</definedName>
    <definedName name="Fill16" localSheetId="5">#REF!</definedName>
    <definedName name="Fill16" localSheetId="3">#REF!</definedName>
    <definedName name="Fill16">#REF!</definedName>
    <definedName name="Fill17" localSheetId="1">#REF!</definedName>
    <definedName name="Fill17" localSheetId="6">#REF!</definedName>
    <definedName name="Fill17" localSheetId="4">#REF!</definedName>
    <definedName name="Fill17" localSheetId="5">#REF!</definedName>
    <definedName name="Fill17" localSheetId="3">#REF!</definedName>
    <definedName name="Fill17">#REF!</definedName>
    <definedName name="Fill2" localSheetId="1">#REF!</definedName>
    <definedName name="Fill2" localSheetId="6">#REF!</definedName>
    <definedName name="Fill2" localSheetId="4">#REF!</definedName>
    <definedName name="Fill2" localSheetId="5">#REF!</definedName>
    <definedName name="Fill2" localSheetId="3">#REF!</definedName>
    <definedName name="Fill2">#REF!</definedName>
    <definedName name="Fill3" localSheetId="1">#REF!</definedName>
    <definedName name="Fill3" localSheetId="6">#REF!</definedName>
    <definedName name="Fill3" localSheetId="4">#REF!</definedName>
    <definedName name="Fill3" localSheetId="5">#REF!</definedName>
    <definedName name="Fill3" localSheetId="3">#REF!</definedName>
    <definedName name="Fill3">#REF!</definedName>
    <definedName name="Fill4" localSheetId="1">#REF!</definedName>
    <definedName name="Fill4" localSheetId="6">#REF!</definedName>
    <definedName name="Fill4" localSheetId="4">#REF!</definedName>
    <definedName name="Fill4" localSheetId="5">#REF!</definedName>
    <definedName name="Fill4" localSheetId="3">#REF!</definedName>
    <definedName name="Fill4">#REF!</definedName>
    <definedName name="Fill5" localSheetId="1">#REF!</definedName>
    <definedName name="Fill5" localSheetId="6">#REF!</definedName>
    <definedName name="Fill5" localSheetId="4">#REF!</definedName>
    <definedName name="Fill5" localSheetId="5">#REF!</definedName>
    <definedName name="Fill5" localSheetId="3">#REF!</definedName>
    <definedName name="Fill5">#REF!</definedName>
    <definedName name="Fill6" localSheetId="1">#REF!</definedName>
    <definedName name="Fill6" localSheetId="6">#REF!</definedName>
    <definedName name="Fill6" localSheetId="4">#REF!</definedName>
    <definedName name="Fill6" localSheetId="5">#REF!</definedName>
    <definedName name="Fill6" localSheetId="3">#REF!</definedName>
    <definedName name="Fill6">#REF!</definedName>
    <definedName name="Fill7" localSheetId="1">#REF!</definedName>
    <definedName name="Fill7" localSheetId="6">#REF!</definedName>
    <definedName name="Fill7" localSheetId="4">#REF!</definedName>
    <definedName name="Fill7" localSheetId="5">#REF!</definedName>
    <definedName name="Fill7" localSheetId="3">#REF!</definedName>
    <definedName name="Fill7">#REF!</definedName>
    <definedName name="Fill8" localSheetId="1">#REF!</definedName>
    <definedName name="Fill8" localSheetId="6">#REF!</definedName>
    <definedName name="Fill8" localSheetId="4">#REF!</definedName>
    <definedName name="Fill8" localSheetId="5">#REF!</definedName>
    <definedName name="Fill8" localSheetId="3">#REF!</definedName>
    <definedName name="Fill8">#REF!</definedName>
    <definedName name="Fill9" localSheetId="1">#REF!</definedName>
    <definedName name="Fill9" localSheetId="6">#REF!</definedName>
    <definedName name="Fill9" localSheetId="4">#REF!</definedName>
    <definedName name="Fill9" localSheetId="5">#REF!</definedName>
    <definedName name="Fill9" localSheetId="3">#REF!</definedName>
    <definedName name="Fill9">#REF!</definedName>
    <definedName name="Grade_Span" localSheetId="1">#REF!</definedName>
    <definedName name="Grade_Span" localSheetId="6">#REF!</definedName>
    <definedName name="Grade_Span" localSheetId="4">#REF!</definedName>
    <definedName name="Grade_Span" localSheetId="5">#REF!</definedName>
    <definedName name="Grade_Span" localSheetId="3">#REF!</definedName>
    <definedName name="Grade_Span">#REF!</definedName>
    <definedName name="Hill_City_51_2" localSheetId="1">[1]Districts!#REF!</definedName>
    <definedName name="Hill_City_51_2" localSheetId="4">[1]Districts!#REF!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 localSheetId="1">[2]Districts!#REF!</definedName>
    <definedName name="Jefferson_61_6" localSheetId="6">[2]Districts!#REF!</definedName>
    <definedName name="Jefferson_61_6" localSheetId="4">[2]Districts!#REF!</definedName>
    <definedName name="Jefferson_61_6" localSheetId="5">[2]Districts!#REF!</definedName>
    <definedName name="Jefferson_61_6">[2]Districts!#REF!</definedName>
    <definedName name="jolene" hidden="1">[3]LEVIES97!$A$6:$AA$182</definedName>
    <definedName name="K_Enrollment" localSheetId="1">#REF!</definedName>
    <definedName name="K_Enrollment" localSheetId="6">#REF!</definedName>
    <definedName name="K_Enrollment" localSheetId="4">#REF!</definedName>
    <definedName name="K_Enrollment" localSheetId="5">#REF!</definedName>
    <definedName name="K_Enrollment" localSheetId="3">#REF!</definedName>
    <definedName name="K_Enrollment">#REF!</definedName>
    <definedName name="Less_Than_5_Year_Exp" localSheetId="1">#REF!</definedName>
    <definedName name="Less_Than_5_Year_Exp" localSheetId="6">#REF!</definedName>
    <definedName name="Less_Than_5_Year_Exp" localSheetId="4">#REF!</definedName>
    <definedName name="Less_Than_5_Year_Exp" localSheetId="5">#REF!</definedName>
    <definedName name="Less_Than_5_Year_Exp" localSheetId="3">#REF!</definedName>
    <definedName name="Less_Than_5_Year_Exp">#REF!</definedName>
    <definedName name="Librarian_FTE" localSheetId="1">#REF!</definedName>
    <definedName name="Librarian_FTE" localSheetId="6">#REF!</definedName>
    <definedName name="Librarian_FTE" localSheetId="4">#REF!</definedName>
    <definedName name="Librarian_FTE" localSheetId="5">#REF!</definedName>
    <definedName name="Librarian_FTE" localSheetId="3">#REF!</definedName>
    <definedName name="Librarian_FTE">#REF!</definedName>
    <definedName name="Librarian_Ratio" localSheetId="1">#REF!</definedName>
    <definedName name="Librarian_Ratio" localSheetId="6">#REF!</definedName>
    <definedName name="Librarian_Ratio" localSheetId="4">#REF!</definedName>
    <definedName name="Librarian_Ratio" localSheetId="5">#REF!</definedName>
    <definedName name="Librarian_Ratio" localSheetId="3">#REF!</definedName>
    <definedName name="Librarian_Ratio">#REF!</definedName>
    <definedName name="Local_Gen_Fund_Revenue" localSheetId="1">#REF!</definedName>
    <definedName name="Local_Gen_Fund_Revenue" localSheetId="6">#REF!</definedName>
    <definedName name="Local_Gen_Fund_Revenue" localSheetId="4">#REF!</definedName>
    <definedName name="Local_Gen_Fund_Revenue" localSheetId="5">#REF!</definedName>
    <definedName name="Local_Gen_Fund_Revenue" localSheetId="3">#REF!</definedName>
    <definedName name="Local_Gen_Fund_Revenue">#REF!</definedName>
    <definedName name="Local_Spec_Fund_Revenue" localSheetId="1">#REF!</definedName>
    <definedName name="Local_Spec_Fund_Revenue" localSheetId="6">#REF!</definedName>
    <definedName name="Local_Spec_Fund_Revenue" localSheetId="4">#REF!</definedName>
    <definedName name="Local_Spec_Fund_Revenue" localSheetId="5">#REF!</definedName>
    <definedName name="Local_Spec_Fund_Revenue" localSheetId="3">#REF!</definedName>
    <definedName name="Local_Spec_Fund_Revenue">#REF!</definedName>
    <definedName name="Lost_Enrollment" localSheetId="1">#REF!</definedName>
    <definedName name="Lost_Enrollment" localSheetId="6">#REF!</definedName>
    <definedName name="Lost_Enrollment" localSheetId="4">#REF!</definedName>
    <definedName name="Lost_Enrollment" localSheetId="5">#REF!</definedName>
    <definedName name="Lost_Enrollment" localSheetId="3">#REF!</definedName>
    <definedName name="Lost_Enrollment">#REF!</definedName>
    <definedName name="Max_Masters_Salary" localSheetId="1">#REF!</definedName>
    <definedName name="Max_Masters_Salary" localSheetId="6">#REF!</definedName>
    <definedName name="Max_Masters_Salary" localSheetId="4">#REF!</definedName>
    <definedName name="Max_Masters_Salary" localSheetId="5">#REF!</definedName>
    <definedName name="Max_Masters_Salary" localSheetId="3">#REF!</definedName>
    <definedName name="Max_Masters_Salary">#REF!</definedName>
    <definedName name="Minimum_Bach_Salary" localSheetId="1">#REF!</definedName>
    <definedName name="Minimum_Bach_Salary" localSheetId="6">#REF!</definedName>
    <definedName name="Minimum_Bach_Salary" localSheetId="4">#REF!</definedName>
    <definedName name="Minimum_Bach_Salary" localSheetId="5">#REF!</definedName>
    <definedName name="Minimum_Bach_Salary" localSheetId="3">#REF!</definedName>
    <definedName name="Minimum_Bach_Salary">#REF!</definedName>
    <definedName name="New_Enrollment" localSheetId="1">#REF!</definedName>
    <definedName name="New_Enrollment" localSheetId="6">#REF!</definedName>
    <definedName name="New_Enrollment" localSheetId="4">#REF!</definedName>
    <definedName name="New_Enrollment" localSheetId="5">#REF!</definedName>
    <definedName name="New_Enrollment" localSheetId="3">#REF!</definedName>
    <definedName name="New_Enrollment">#REF!</definedName>
    <definedName name="No_Of_Advanced_Degree" localSheetId="1">#REF!</definedName>
    <definedName name="No_Of_Advanced_Degree" localSheetId="6">#REF!</definedName>
    <definedName name="No_Of_Advanced_Degree" localSheetId="4">#REF!</definedName>
    <definedName name="No_Of_Advanced_Degree" localSheetId="5">#REF!</definedName>
    <definedName name="No_Of_Advanced_Degree" localSheetId="3">#REF!</definedName>
    <definedName name="No_Of_Advanced_Degree">#REF!</definedName>
    <definedName name="Num_Dropouts_10" localSheetId="1">#REF!</definedName>
    <definedName name="Num_Dropouts_10" localSheetId="6">#REF!</definedName>
    <definedName name="Num_Dropouts_10" localSheetId="4">#REF!</definedName>
    <definedName name="Num_Dropouts_10" localSheetId="5">#REF!</definedName>
    <definedName name="Num_Dropouts_10" localSheetId="3">#REF!</definedName>
    <definedName name="Num_Dropouts_10">#REF!</definedName>
    <definedName name="Num_Dropouts_11" localSheetId="1">#REF!</definedName>
    <definedName name="Num_Dropouts_11" localSheetId="6">#REF!</definedName>
    <definedName name="Num_Dropouts_11" localSheetId="4">#REF!</definedName>
    <definedName name="Num_Dropouts_11" localSheetId="5">#REF!</definedName>
    <definedName name="Num_Dropouts_11" localSheetId="3">#REF!</definedName>
    <definedName name="Num_Dropouts_11">#REF!</definedName>
    <definedName name="Num_Dropouts_12" localSheetId="1">#REF!</definedName>
    <definedName name="Num_Dropouts_12" localSheetId="6">#REF!</definedName>
    <definedName name="Num_Dropouts_12" localSheetId="4">#REF!</definedName>
    <definedName name="Num_Dropouts_12" localSheetId="5">#REF!</definedName>
    <definedName name="Num_Dropouts_12" localSheetId="3">#REF!</definedName>
    <definedName name="Num_Dropouts_12">#REF!</definedName>
    <definedName name="Num_Dropouts_7" localSheetId="1">#REF!</definedName>
    <definedName name="Num_Dropouts_7" localSheetId="6">#REF!</definedName>
    <definedName name="Num_Dropouts_7" localSheetId="4">#REF!</definedName>
    <definedName name="Num_Dropouts_7" localSheetId="5">#REF!</definedName>
    <definedName name="Num_Dropouts_7" localSheetId="3">#REF!</definedName>
    <definedName name="Num_Dropouts_7">#REF!</definedName>
    <definedName name="Num_Dropouts_8" localSheetId="1">#REF!</definedName>
    <definedName name="Num_Dropouts_8" localSheetId="6">#REF!</definedName>
    <definedName name="Num_Dropouts_8" localSheetId="4">#REF!</definedName>
    <definedName name="Num_Dropouts_8" localSheetId="5">#REF!</definedName>
    <definedName name="Num_Dropouts_8" localSheetId="3">#REF!</definedName>
    <definedName name="Num_Dropouts_8">#REF!</definedName>
    <definedName name="Num_Dropouts_9" localSheetId="1">#REF!</definedName>
    <definedName name="Num_Dropouts_9" localSheetId="6">#REF!</definedName>
    <definedName name="Num_Dropouts_9" localSheetId="4">#REF!</definedName>
    <definedName name="Num_Dropouts_9" localSheetId="5">#REF!</definedName>
    <definedName name="Num_Dropouts_9" localSheetId="3">#REF!</definedName>
    <definedName name="Num_Dropouts_9">#REF!</definedName>
    <definedName name="NUMBER_GRADUATES" localSheetId="1">#REF!</definedName>
    <definedName name="NUMBER_GRADUATES" localSheetId="6">#REF!</definedName>
    <definedName name="NUMBER_GRADUATES" localSheetId="4">#REF!</definedName>
    <definedName name="NUMBER_GRADUATES" localSheetId="5">#REF!</definedName>
    <definedName name="NUMBER_GRADUATES" localSheetId="3">#REF!</definedName>
    <definedName name="NUMBER_GRADUATES">#REF!</definedName>
    <definedName name="OTIS_LENNON_NUMBER_TESTED" localSheetId="1">#REF!</definedName>
    <definedName name="OTIS_LENNON_NUMBER_TESTED" localSheetId="6">#REF!</definedName>
    <definedName name="OTIS_LENNON_NUMBER_TESTED" localSheetId="4">#REF!</definedName>
    <definedName name="OTIS_LENNON_NUMBER_TESTED" localSheetId="5">#REF!</definedName>
    <definedName name="OTIS_LENNON_NUMBER_TESTED" localSheetId="3">#REF!</definedName>
    <definedName name="OTIS_LENNON_NUMBER_TESTED">#REF!</definedName>
    <definedName name="OTIS_LENNON_PERCENTILE" localSheetId="1">#REF!</definedName>
    <definedName name="OTIS_LENNON_PERCENTILE" localSheetId="6">#REF!</definedName>
    <definedName name="OTIS_LENNON_PERCENTILE" localSheetId="4">#REF!</definedName>
    <definedName name="OTIS_LENNON_PERCENTILE" localSheetId="5">#REF!</definedName>
    <definedName name="OTIS_LENNON_PERCENTILE" localSheetId="3">#REF!</definedName>
    <definedName name="OTIS_LENNON_PERCENTILE">#REF!</definedName>
    <definedName name="Overall_Dropout_Rate" localSheetId="1">#REF!</definedName>
    <definedName name="Overall_Dropout_Rate" localSheetId="6">#REF!</definedName>
    <definedName name="Overall_Dropout_Rate" localSheetId="4">#REF!</definedName>
    <definedName name="Overall_Dropout_Rate" localSheetId="5">#REF!</definedName>
    <definedName name="Overall_Dropout_Rate" localSheetId="3">#REF!</definedName>
    <definedName name="Overall_Dropout_Rate">#REF!</definedName>
    <definedName name="PartVSec1" localSheetId="1">#REF!</definedName>
    <definedName name="PartVSec1" localSheetId="6">#REF!</definedName>
    <definedName name="PartVSec1" localSheetId="4">#REF!</definedName>
    <definedName name="PartVSec1" localSheetId="5">#REF!</definedName>
    <definedName name="PartVSec1" localSheetId="3">#REF!</definedName>
    <definedName name="PartVSec1">#REF!</definedName>
    <definedName name="PartVSec2" localSheetId="1">#REF!</definedName>
    <definedName name="PartVSec2" localSheetId="6">#REF!</definedName>
    <definedName name="PartVSec2" localSheetId="4">#REF!</definedName>
    <definedName name="PartVSec2" localSheetId="5">#REF!</definedName>
    <definedName name="PartVSec2" localSheetId="3">#REF!</definedName>
    <definedName name="PartVSec2">#REF!</definedName>
    <definedName name="Perc_Less_Than_5_Year_Exp" localSheetId="1">#REF!</definedName>
    <definedName name="Perc_Less_Than_5_Year_Exp" localSheetId="6">#REF!</definedName>
    <definedName name="Perc_Less_Than_5_Year_Exp" localSheetId="4">#REF!</definedName>
    <definedName name="Perc_Less_Than_5_Year_Exp" localSheetId="5">#REF!</definedName>
    <definedName name="Perc_Less_Than_5_Year_Exp" localSheetId="3">#REF!</definedName>
    <definedName name="Perc_Less_Than_5_Year_Exp">#REF!</definedName>
    <definedName name="Percent_Of_Advanced_Degree" localSheetId="1">#REF!</definedName>
    <definedName name="Percent_Of_Advanced_Degree" localSheetId="6">#REF!</definedName>
    <definedName name="Percent_Of_Advanced_Degree" localSheetId="4">#REF!</definedName>
    <definedName name="Percent_Of_Advanced_Degree" localSheetId="5">#REF!</definedName>
    <definedName name="Percent_Of_Advanced_Degree" localSheetId="3">#REF!</definedName>
    <definedName name="Percent_Of_Advanced_Degree">#REF!</definedName>
    <definedName name="Principal_FTE" localSheetId="1">#REF!</definedName>
    <definedName name="Principal_FTE" localSheetId="6">#REF!</definedName>
    <definedName name="Principal_FTE" localSheetId="4">#REF!</definedName>
    <definedName name="Principal_FTE" localSheetId="5">#REF!</definedName>
    <definedName name="Principal_FTE" localSheetId="3">#REF!</definedName>
    <definedName name="Principal_FTE">#REF!</definedName>
    <definedName name="Principal_Ratio" localSheetId="1">#REF!</definedName>
    <definedName name="Principal_Ratio" localSheetId="6">#REF!</definedName>
    <definedName name="Principal_Ratio" localSheetId="4">#REF!</definedName>
    <definedName name="Principal_Ratio" localSheetId="5">#REF!</definedName>
    <definedName name="Principal_Ratio" localSheetId="3">#REF!</definedName>
    <definedName name="Principal_Ratio">#REF!</definedName>
    <definedName name="_xlnm.Print_Area" localSheetId="1">COMPARE!$A$1:$H$30</definedName>
    <definedName name="_xlnm.Print_Area" localSheetId="6">'FY2024'!$A$1:$R$158</definedName>
    <definedName name="_xlnm.Print_Area" localSheetId="0">'GSA Estimate Calculator'!$A$1:$G$51</definedName>
    <definedName name="_xlnm.Print_Area" localSheetId="4">OtherRevenueLocalEffortFY25!$A$1:$L$157</definedName>
    <definedName name="_xlnm.Print_Area" localSheetId="3">'SAFE History'!$B$3:$H$157</definedName>
    <definedName name="_xlnm.Print_Titles" localSheetId="6">'FY2024'!$1:$5</definedName>
    <definedName name="_xlnm.Print_Titles" localSheetId="4">OtherRevenueLocalEffortFY25!$4:$4</definedName>
    <definedName name="_xlnm.Print_Titles" localSheetId="3">'SAFE History'!$1:$2</definedName>
    <definedName name="QRY___Dist_by_Disability__3_21_" localSheetId="1">#REF!</definedName>
    <definedName name="QRY___Dist_by_Disability__3_21_" localSheetId="6">#REF!</definedName>
    <definedName name="QRY___Dist_by_Disability__3_21_" localSheetId="4">#REF!</definedName>
    <definedName name="QRY___Dist_by_Disability__3_21_" localSheetId="5">#REF!</definedName>
    <definedName name="QRY___Dist_by_Disability__3_21_" localSheetId="3">#REF!</definedName>
    <definedName name="QRY___Dist_by_Disability__3_21_">#REF!</definedName>
    <definedName name="Qry_District_by_Disability" localSheetId="1">#REF!</definedName>
    <definedName name="Qry_District_by_Disability" localSheetId="6">#REF!</definedName>
    <definedName name="Qry_District_by_Disability" localSheetId="4">#REF!</definedName>
    <definedName name="Qry_District_by_Disability" localSheetId="5">#REF!</definedName>
    <definedName name="Qry_District_by_Disability" localSheetId="3">#REF!</definedName>
    <definedName name="Qry_District_by_Disability">#REF!</definedName>
    <definedName name="QRY1_12ADMFinal_Out" localSheetId="1">#REF!</definedName>
    <definedName name="QRY1_12ADMFinal_Out" localSheetId="6">#REF!</definedName>
    <definedName name="QRY1_12ADMFinal_Out" localSheetId="4">#REF!</definedName>
    <definedName name="QRY1_12ADMFinal_Out" localSheetId="5">#REF!</definedName>
    <definedName name="QRY1_12ADMFinal_Out" localSheetId="3">#REF!</definedName>
    <definedName name="QRY1_12ADMFinal_Out">#REF!</definedName>
    <definedName name="QryADM1_12Add" localSheetId="1">#REF!</definedName>
    <definedName name="QryADM1_12Add" localSheetId="6">#REF!</definedName>
    <definedName name="QryADM1_12Add" localSheetId="4">#REF!</definedName>
    <definedName name="QryADM1_12Add" localSheetId="5">#REF!</definedName>
    <definedName name="QryADM1_12Add" localSheetId="3">#REF!</definedName>
    <definedName name="QryADM1_12Add">#REF!</definedName>
    <definedName name="QryADM1_12Subtract" localSheetId="1">#REF!</definedName>
    <definedName name="QryADM1_12Subtract" localSheetId="6">#REF!</definedName>
    <definedName name="QryADM1_12Subtract" localSheetId="4">#REF!</definedName>
    <definedName name="QryADM1_12Subtract" localSheetId="5">#REF!</definedName>
    <definedName name="QryADM1_12Subtract" localSheetId="3">#REF!</definedName>
    <definedName name="QryADM1_12Subtract">#REF!</definedName>
    <definedName name="QryADMKgAdd" localSheetId="1">#REF!</definedName>
    <definedName name="QryADMKgAdd" localSheetId="6">#REF!</definedName>
    <definedName name="QryADMKgAdd" localSheetId="4">#REF!</definedName>
    <definedName name="QryADMKgAdd" localSheetId="5">#REF!</definedName>
    <definedName name="QryADMKgAdd" localSheetId="3">#REF!</definedName>
    <definedName name="QryADMKgAdd">#REF!</definedName>
    <definedName name="QryADMKgSubtract" localSheetId="1">#REF!</definedName>
    <definedName name="QryADMKgSubtract" localSheetId="6">#REF!</definedName>
    <definedName name="QryADMKgSubtract" localSheetId="4">#REF!</definedName>
    <definedName name="QryADMKgSubtract" localSheetId="5">#REF!</definedName>
    <definedName name="QryADMKgSubtract" localSheetId="3">#REF!</definedName>
    <definedName name="QryADMKgSubtract">#REF!</definedName>
    <definedName name="QryKGADMFinal_out" localSheetId="1">#REF!</definedName>
    <definedName name="QryKGADMFinal_out" localSheetId="6">#REF!</definedName>
    <definedName name="QryKGADMFinal_out" localSheetId="4">#REF!</definedName>
    <definedName name="QryKGADMFinal_out" localSheetId="5">#REF!</definedName>
    <definedName name="QryKGADMFinal_out" localSheetId="3">#REF!</definedName>
    <definedName name="QryKGADMFinal_out">#REF!</definedName>
    <definedName name="Retained_Student_Ratio" localSheetId="1">#REF!</definedName>
    <definedName name="Retained_Student_Ratio" localSheetId="6">#REF!</definedName>
    <definedName name="Retained_Student_Ratio" localSheetId="4">#REF!</definedName>
    <definedName name="Retained_Student_Ratio" localSheetId="5">#REF!</definedName>
    <definedName name="Retained_Student_Ratio" localSheetId="3">#REF!</definedName>
    <definedName name="Retained_Student_Ratio">#REF!</definedName>
    <definedName name="Retained_Students" localSheetId="1">#REF!</definedName>
    <definedName name="Retained_Students" localSheetId="6">#REF!</definedName>
    <definedName name="Retained_Students" localSheetId="4">#REF!</definedName>
    <definedName name="Retained_Students" localSheetId="5">#REF!</definedName>
    <definedName name="Retained_Students" localSheetId="3">#REF!</definedName>
    <definedName name="Retained_Students">#REF!</definedName>
    <definedName name="School">#REF!</definedName>
    <definedName name="school_area" localSheetId="1">#REF!</definedName>
    <definedName name="school_area" localSheetId="6">#REF!</definedName>
    <definedName name="school_area" localSheetId="4">#REF!</definedName>
    <definedName name="school_area" localSheetId="5">#REF!</definedName>
    <definedName name="school_area" localSheetId="3">#REF!</definedName>
    <definedName name="school_area">#REF!</definedName>
    <definedName name="School_Attendance_Rate" localSheetId="1">#REF!</definedName>
    <definedName name="School_Attendance_Rate" localSheetId="6">#REF!</definedName>
    <definedName name="School_Attendance_Rate" localSheetId="4">#REF!</definedName>
    <definedName name="School_Attendance_Rate" localSheetId="5">#REF!</definedName>
    <definedName name="School_Attendance_Rate" localSheetId="3">#REF!</definedName>
    <definedName name="School_Attendance_Rate">#REF!</definedName>
    <definedName name="School_Code" localSheetId="1">#REF!</definedName>
    <definedName name="School_Code" localSheetId="6">#REF!</definedName>
    <definedName name="School_Code" localSheetId="4">#REF!</definedName>
    <definedName name="School_Code" localSheetId="5">#REF!</definedName>
    <definedName name="School_Code" localSheetId="3">#REF!</definedName>
    <definedName name="School_Code">#REF!</definedName>
    <definedName name="SCHOOL_NAME" localSheetId="1">#REF!</definedName>
    <definedName name="SCHOOL_NAME" localSheetId="6">#REF!</definedName>
    <definedName name="SCHOOL_NAME" localSheetId="4">#REF!</definedName>
    <definedName name="SCHOOL_NAME" localSheetId="5">#REF!</definedName>
    <definedName name="SCHOOL_NAME" localSheetId="3">#REF!</definedName>
    <definedName name="SCHOOL_NAME">#REF!</definedName>
    <definedName name="School_Phone_Num" localSheetId="1">#REF!</definedName>
    <definedName name="School_Phone_Num" localSheetId="6">#REF!</definedName>
    <definedName name="School_Phone_Num" localSheetId="4">#REF!</definedName>
    <definedName name="School_Phone_Num" localSheetId="5">#REF!</definedName>
    <definedName name="School_Phone_Num" localSheetId="3">#REF!</definedName>
    <definedName name="School_Phone_Num">#REF!</definedName>
    <definedName name="School_Principal" localSheetId="1">#REF!</definedName>
    <definedName name="School_Principal" localSheetId="6">#REF!</definedName>
    <definedName name="School_Principal" localSheetId="4">#REF!</definedName>
    <definedName name="School_Principal" localSheetId="5">#REF!</definedName>
    <definedName name="School_Principal" localSheetId="3">#REF!</definedName>
    <definedName name="School_Principal">#REF!</definedName>
    <definedName name="School_Principal_Num" localSheetId="1">#REF!</definedName>
    <definedName name="School_Principal_Num" localSheetId="6">#REF!</definedName>
    <definedName name="School_Principal_Num" localSheetId="4">#REF!</definedName>
    <definedName name="School_Principal_Num" localSheetId="5">#REF!</definedName>
    <definedName name="School_Principal_Num" localSheetId="3">#REF!</definedName>
    <definedName name="School_Principal_Num">#REF!</definedName>
    <definedName name="School_Type" localSheetId="1">#REF!</definedName>
    <definedName name="School_Type" localSheetId="6">#REF!</definedName>
    <definedName name="School_Type" localSheetId="4">#REF!</definedName>
    <definedName name="School_Type" localSheetId="5">#REF!</definedName>
    <definedName name="School_Type" localSheetId="3">#REF!</definedName>
    <definedName name="School_Type">#REF!</definedName>
    <definedName name="STANFORD_METROPOLITAN_PERCENTILE" localSheetId="1">#REF!</definedName>
    <definedName name="STANFORD_METROPOLITAN_PERCENTILE" localSheetId="6">#REF!</definedName>
    <definedName name="STANFORD_METROPOLITAN_PERCENTILE" localSheetId="4">#REF!</definedName>
    <definedName name="STANFORD_METROPOLITAN_PERCENTILE" localSheetId="5">#REF!</definedName>
    <definedName name="STANFORD_METROPOLITAN_PERCENTILE" localSheetId="3">#REF!</definedName>
    <definedName name="STANFORD_METROPOLITAN_PERCENTILE">#REF!</definedName>
    <definedName name="State_Gen_Fund_Revenue" localSheetId="1">#REF!</definedName>
    <definedName name="State_Gen_Fund_Revenue" localSheetId="6">#REF!</definedName>
    <definedName name="State_Gen_Fund_Revenue" localSheetId="4">#REF!</definedName>
    <definedName name="State_Gen_Fund_Revenue" localSheetId="5">#REF!</definedName>
    <definedName name="State_Gen_Fund_Revenue" localSheetId="3">#REF!</definedName>
    <definedName name="State_Gen_Fund_Revenue">#REF!</definedName>
    <definedName name="State_Spec_Fund_Revenue" localSheetId="1">#REF!</definedName>
    <definedName name="State_Spec_Fund_Revenue" localSheetId="6">#REF!</definedName>
    <definedName name="State_Spec_Fund_Revenue" localSheetId="4">#REF!</definedName>
    <definedName name="State_Spec_Fund_Revenue" localSheetId="5">#REF!</definedName>
    <definedName name="State_Spec_Fund_Revenue" localSheetId="3">#REF!</definedName>
    <definedName name="State_Spec_Fund_Revenue">#REF!</definedName>
    <definedName name="STUDENT_TO_STAFF_RATIO" localSheetId="1">#REF!</definedName>
    <definedName name="STUDENT_TO_STAFF_RATIO" localSheetId="6">#REF!</definedName>
    <definedName name="STUDENT_TO_STAFF_RATIO" localSheetId="4">#REF!</definedName>
    <definedName name="STUDENT_TO_STAFF_RATIO" localSheetId="5">#REF!</definedName>
    <definedName name="STUDENT_TO_STAFF_RATIO" localSheetId="3">#REF!</definedName>
    <definedName name="STUDENT_TO_STAFF_RATIO">#REF!</definedName>
    <definedName name="TBL1_12ADM1_Out" localSheetId="1">#REF!</definedName>
    <definedName name="TBL1_12ADM1_Out" localSheetId="6">#REF!</definedName>
    <definedName name="TBL1_12ADM1_Out" localSheetId="4">#REF!</definedName>
    <definedName name="TBL1_12ADM1_Out" localSheetId="5">#REF!</definedName>
    <definedName name="TBL1_12ADM1_Out" localSheetId="3">#REF!</definedName>
    <definedName name="TBL1_12ADM1_Out">#REF!</definedName>
    <definedName name="TblAttndanceCenterSummary" localSheetId="1">#REF!</definedName>
    <definedName name="TblAttndanceCenterSummary" localSheetId="6">#REF!</definedName>
    <definedName name="TblAttndanceCenterSummary" localSheetId="4">#REF!</definedName>
    <definedName name="TblAttndanceCenterSummary" localSheetId="5">#REF!</definedName>
    <definedName name="TblAttndanceCenterSummary" localSheetId="3">#REF!</definedName>
    <definedName name="TblAttndanceCenterSummary">#REF!</definedName>
    <definedName name="TblAttndanceCenterSummary1" localSheetId="1">#REF!</definedName>
    <definedName name="TblAttndanceCenterSummary1" localSheetId="6">#REF!</definedName>
    <definedName name="TblAttndanceCenterSummary1" localSheetId="4">#REF!</definedName>
    <definedName name="TblAttndanceCenterSummary1" localSheetId="5">#REF!</definedName>
    <definedName name="TblAttndanceCenterSummary1" localSheetId="3">#REF!</definedName>
    <definedName name="TblAttndanceCenterSummary1">#REF!</definedName>
    <definedName name="Teacher_FTE" localSheetId="1">#REF!</definedName>
    <definedName name="Teacher_FTE" localSheetId="6">#REF!</definedName>
    <definedName name="Teacher_FTE" localSheetId="4">#REF!</definedName>
    <definedName name="Teacher_FTE" localSheetId="5">#REF!</definedName>
    <definedName name="Teacher_FTE" localSheetId="3">#REF!</definedName>
    <definedName name="Teacher_FTE">#REF!</definedName>
    <definedName name="Teacher_Ratio" localSheetId="1">#REF!</definedName>
    <definedName name="Teacher_Ratio" localSheetId="6">#REF!</definedName>
    <definedName name="Teacher_Ratio" localSheetId="4">#REF!</definedName>
    <definedName name="Teacher_Ratio" localSheetId="5">#REF!</definedName>
    <definedName name="Teacher_Ratio" localSheetId="3">#REF!</definedName>
    <definedName name="Teacher_Ratio">#REF!</definedName>
    <definedName name="test" localSheetId="1">[1]Districts!#REF!</definedName>
    <definedName name="test" localSheetId="4">[1]Districts!#REF!</definedName>
    <definedName name="test">[1]Districts!#REF!</definedName>
    <definedName name="Tot_Number_Of_Teachers" localSheetId="1">#REF!</definedName>
    <definedName name="Tot_Number_Of_Teachers" localSheetId="6">#REF!</definedName>
    <definedName name="Tot_Number_Of_Teachers" localSheetId="4">#REF!</definedName>
    <definedName name="Tot_Number_Of_Teachers" localSheetId="5">#REF!</definedName>
    <definedName name="Tot_Number_Of_Teachers" localSheetId="3">#REF!</definedName>
    <definedName name="Tot_Number_Of_Teachers">#REF!</definedName>
    <definedName name="Total_Expenditure" localSheetId="1">#REF!</definedName>
    <definedName name="Total_Expenditure" localSheetId="6">#REF!</definedName>
    <definedName name="Total_Expenditure" localSheetId="4">#REF!</definedName>
    <definedName name="Total_Expenditure" localSheetId="5">#REF!</definedName>
    <definedName name="Total_Expenditure" localSheetId="3">#REF!</definedName>
    <definedName name="Total_Expenditure">#REF!</definedName>
    <definedName name="TOTAL_INSTRUCTIONAL_STAFF" localSheetId="1">#REF!</definedName>
    <definedName name="TOTAL_INSTRUCTIONAL_STAFF" localSheetId="6">#REF!</definedName>
    <definedName name="TOTAL_INSTRUCTIONAL_STAFF" localSheetId="4">#REF!</definedName>
    <definedName name="TOTAL_INSTRUCTIONAL_STAFF" localSheetId="5">#REF!</definedName>
    <definedName name="TOTAL_INSTRUCTIONAL_STAFF" localSheetId="3">#REF!</definedName>
    <definedName name="TOTAL_INSTRUCTIONAL_STAFF">#REF!</definedName>
    <definedName name="Totals_by_School_District" localSheetId="1">#REF!</definedName>
    <definedName name="Totals_by_School_District" localSheetId="6">#REF!</definedName>
    <definedName name="Totals_by_School_District" localSheetId="4">#REF!</definedName>
    <definedName name="Totals_by_School_District" localSheetId="5">#REF!</definedName>
    <definedName name="Totals_by_School_District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57" i="36" l="1"/>
  <c r="I156" i="36"/>
  <c r="J153" i="36"/>
  <c r="H153" i="36"/>
  <c r="G153" i="36"/>
  <c r="F153" i="36"/>
  <c r="E153" i="36"/>
  <c r="D153" i="36"/>
  <c r="C153" i="36"/>
  <c r="I152" i="36"/>
  <c r="L152" i="36" s="1"/>
  <c r="I151" i="36"/>
  <c r="L151" i="36" s="1"/>
  <c r="I150" i="36"/>
  <c r="L150" i="36" s="1"/>
  <c r="I149" i="36"/>
  <c r="L149" i="36" s="1"/>
  <c r="I148" i="36"/>
  <c r="L148" i="36" s="1"/>
  <c r="I147" i="36"/>
  <c r="L147" i="36" s="1"/>
  <c r="I146" i="36"/>
  <c r="L146" i="36" s="1"/>
  <c r="I145" i="36"/>
  <c r="L145" i="36" s="1"/>
  <c r="I144" i="36"/>
  <c r="L144" i="36" s="1"/>
  <c r="I143" i="36"/>
  <c r="L143" i="36" s="1"/>
  <c r="I142" i="36"/>
  <c r="L142" i="36" s="1"/>
  <c r="I141" i="36"/>
  <c r="L141" i="36" s="1"/>
  <c r="I140" i="36"/>
  <c r="L140" i="36" s="1"/>
  <c r="I139" i="36"/>
  <c r="L139" i="36" s="1"/>
  <c r="I138" i="36"/>
  <c r="L138" i="36" s="1"/>
  <c r="I137" i="36"/>
  <c r="L137" i="36" s="1"/>
  <c r="I136" i="36"/>
  <c r="L136" i="36" s="1"/>
  <c r="I135" i="36"/>
  <c r="L135" i="36" s="1"/>
  <c r="I134" i="36"/>
  <c r="L134" i="36" s="1"/>
  <c r="I133" i="36"/>
  <c r="L133" i="36" s="1"/>
  <c r="I132" i="36"/>
  <c r="L132" i="36" s="1"/>
  <c r="L131" i="36"/>
  <c r="I131" i="36"/>
  <c r="I130" i="36"/>
  <c r="L130" i="36" s="1"/>
  <c r="I129" i="36"/>
  <c r="L129" i="36" s="1"/>
  <c r="I128" i="36"/>
  <c r="L128" i="36" s="1"/>
  <c r="L127" i="36"/>
  <c r="I127" i="36"/>
  <c r="I126" i="36"/>
  <c r="L126" i="36" s="1"/>
  <c r="I125" i="36"/>
  <c r="L125" i="36" s="1"/>
  <c r="I124" i="36"/>
  <c r="L124" i="36" s="1"/>
  <c r="I123" i="36"/>
  <c r="L123" i="36" s="1"/>
  <c r="I122" i="36"/>
  <c r="L122" i="36" s="1"/>
  <c r="I121" i="36"/>
  <c r="L121" i="36" s="1"/>
  <c r="I120" i="36"/>
  <c r="L120" i="36" s="1"/>
  <c r="I119" i="36"/>
  <c r="L119" i="36" s="1"/>
  <c r="I118" i="36"/>
  <c r="L118" i="36" s="1"/>
  <c r="I117" i="36"/>
  <c r="L117" i="36" s="1"/>
  <c r="I116" i="36"/>
  <c r="L116" i="36" s="1"/>
  <c r="I115" i="36"/>
  <c r="L115" i="36" s="1"/>
  <c r="I114" i="36"/>
  <c r="L114" i="36" s="1"/>
  <c r="I113" i="36"/>
  <c r="L113" i="36" s="1"/>
  <c r="I112" i="36"/>
  <c r="L112" i="36" s="1"/>
  <c r="I111" i="36"/>
  <c r="L111" i="36" s="1"/>
  <c r="I110" i="36"/>
  <c r="L110" i="36" s="1"/>
  <c r="I109" i="36"/>
  <c r="L109" i="36" s="1"/>
  <c r="I108" i="36"/>
  <c r="L108" i="36" s="1"/>
  <c r="I107" i="36"/>
  <c r="L107" i="36" s="1"/>
  <c r="I106" i="36"/>
  <c r="L106" i="36" s="1"/>
  <c r="I105" i="36"/>
  <c r="L105" i="36" s="1"/>
  <c r="I104" i="36"/>
  <c r="L104" i="36" s="1"/>
  <c r="I103" i="36"/>
  <c r="L103" i="36" s="1"/>
  <c r="I102" i="36"/>
  <c r="L102" i="36" s="1"/>
  <c r="I101" i="36"/>
  <c r="L101" i="36" s="1"/>
  <c r="I100" i="36"/>
  <c r="L100" i="36" s="1"/>
  <c r="L99" i="36"/>
  <c r="I99" i="36"/>
  <c r="I98" i="36"/>
  <c r="L98" i="36" s="1"/>
  <c r="I97" i="36"/>
  <c r="L97" i="36" s="1"/>
  <c r="I96" i="36"/>
  <c r="L96" i="36" s="1"/>
  <c r="L95" i="36"/>
  <c r="I95" i="36"/>
  <c r="I94" i="36"/>
  <c r="L94" i="36" s="1"/>
  <c r="I93" i="36"/>
  <c r="L93" i="36" s="1"/>
  <c r="I92" i="36"/>
  <c r="L92" i="36" s="1"/>
  <c r="I91" i="36"/>
  <c r="L91" i="36" s="1"/>
  <c r="I90" i="36"/>
  <c r="L90" i="36" s="1"/>
  <c r="I89" i="36"/>
  <c r="L89" i="36" s="1"/>
  <c r="I88" i="36"/>
  <c r="L88" i="36" s="1"/>
  <c r="I87" i="36"/>
  <c r="L87" i="36" s="1"/>
  <c r="I86" i="36"/>
  <c r="L86" i="36" s="1"/>
  <c r="I85" i="36"/>
  <c r="L85" i="36" s="1"/>
  <c r="I84" i="36"/>
  <c r="L84" i="36" s="1"/>
  <c r="I83" i="36"/>
  <c r="L83" i="36" s="1"/>
  <c r="I82" i="36"/>
  <c r="L82" i="36" s="1"/>
  <c r="I81" i="36"/>
  <c r="L81" i="36" s="1"/>
  <c r="I80" i="36"/>
  <c r="L80" i="36" s="1"/>
  <c r="I79" i="36"/>
  <c r="L79" i="36" s="1"/>
  <c r="I78" i="36"/>
  <c r="L78" i="36" s="1"/>
  <c r="I77" i="36"/>
  <c r="L77" i="36" s="1"/>
  <c r="I76" i="36"/>
  <c r="L76" i="36" s="1"/>
  <c r="I75" i="36"/>
  <c r="L75" i="36" s="1"/>
  <c r="I74" i="36"/>
  <c r="L74" i="36" s="1"/>
  <c r="I73" i="36"/>
  <c r="L73" i="36" s="1"/>
  <c r="I72" i="36"/>
  <c r="L72" i="36" s="1"/>
  <c r="I71" i="36"/>
  <c r="L71" i="36" s="1"/>
  <c r="I70" i="36"/>
  <c r="L70" i="36" s="1"/>
  <c r="I69" i="36"/>
  <c r="L69" i="36" s="1"/>
  <c r="I68" i="36"/>
  <c r="L68" i="36" s="1"/>
  <c r="L67" i="36"/>
  <c r="I67" i="36"/>
  <c r="I66" i="36"/>
  <c r="L66" i="36" s="1"/>
  <c r="I65" i="36"/>
  <c r="L65" i="36" s="1"/>
  <c r="I64" i="36"/>
  <c r="L64" i="36" s="1"/>
  <c r="L63" i="36"/>
  <c r="I63" i="36"/>
  <c r="I62" i="36"/>
  <c r="L62" i="36" s="1"/>
  <c r="I61" i="36"/>
  <c r="L61" i="36" s="1"/>
  <c r="I60" i="36"/>
  <c r="L60" i="36" s="1"/>
  <c r="I59" i="36"/>
  <c r="L59" i="36" s="1"/>
  <c r="I58" i="36"/>
  <c r="L58" i="36" s="1"/>
  <c r="I57" i="36"/>
  <c r="L57" i="36" s="1"/>
  <c r="I56" i="36"/>
  <c r="L56" i="36" s="1"/>
  <c r="I55" i="36"/>
  <c r="L55" i="36" s="1"/>
  <c r="I54" i="36"/>
  <c r="L54" i="36" s="1"/>
  <c r="I53" i="36"/>
  <c r="L53" i="36" s="1"/>
  <c r="I52" i="36"/>
  <c r="L52" i="36" s="1"/>
  <c r="I51" i="36"/>
  <c r="L51" i="36" s="1"/>
  <c r="I50" i="36"/>
  <c r="L50" i="36" s="1"/>
  <c r="I49" i="36"/>
  <c r="L49" i="36" s="1"/>
  <c r="I48" i="36"/>
  <c r="L48" i="36" s="1"/>
  <c r="I47" i="36"/>
  <c r="L47" i="36" s="1"/>
  <c r="I46" i="36"/>
  <c r="L46" i="36" s="1"/>
  <c r="I45" i="36"/>
  <c r="L45" i="36" s="1"/>
  <c r="I44" i="36"/>
  <c r="L44" i="36" s="1"/>
  <c r="I43" i="36"/>
  <c r="L43" i="36" s="1"/>
  <c r="I42" i="36"/>
  <c r="L42" i="36" s="1"/>
  <c r="I41" i="36"/>
  <c r="L41" i="36" s="1"/>
  <c r="I40" i="36"/>
  <c r="L40" i="36" s="1"/>
  <c r="I39" i="36"/>
  <c r="L39" i="36" s="1"/>
  <c r="I38" i="36"/>
  <c r="L38" i="36" s="1"/>
  <c r="I37" i="36"/>
  <c r="L37" i="36" s="1"/>
  <c r="I36" i="36"/>
  <c r="L36" i="36" s="1"/>
  <c r="L35" i="36"/>
  <c r="I35" i="36"/>
  <c r="I34" i="36"/>
  <c r="L34" i="36" s="1"/>
  <c r="I33" i="36"/>
  <c r="L33" i="36" s="1"/>
  <c r="I32" i="36"/>
  <c r="L32" i="36" s="1"/>
  <c r="L31" i="36"/>
  <c r="I31" i="36"/>
  <c r="I30" i="36"/>
  <c r="L30" i="36" s="1"/>
  <c r="I29" i="36"/>
  <c r="L29" i="36" s="1"/>
  <c r="I28" i="36"/>
  <c r="L28" i="36" s="1"/>
  <c r="I27" i="36"/>
  <c r="L27" i="36" s="1"/>
  <c r="I26" i="36"/>
  <c r="L26" i="36" s="1"/>
  <c r="I25" i="36"/>
  <c r="L25" i="36" s="1"/>
  <c r="I24" i="36"/>
  <c r="L24" i="36" s="1"/>
  <c r="I23" i="36"/>
  <c r="L23" i="36" s="1"/>
  <c r="I22" i="36"/>
  <c r="L22" i="36" s="1"/>
  <c r="I21" i="36"/>
  <c r="L21" i="36" s="1"/>
  <c r="I20" i="36"/>
  <c r="L20" i="36" s="1"/>
  <c r="I19" i="36"/>
  <c r="L19" i="36" s="1"/>
  <c r="I18" i="36"/>
  <c r="L18" i="36" s="1"/>
  <c r="I17" i="36"/>
  <c r="L17" i="36" s="1"/>
  <c r="I16" i="36"/>
  <c r="L16" i="36" s="1"/>
  <c r="I15" i="36"/>
  <c r="L15" i="36" s="1"/>
  <c r="I14" i="36"/>
  <c r="L14" i="36" s="1"/>
  <c r="I13" i="36"/>
  <c r="L13" i="36" s="1"/>
  <c r="I12" i="36"/>
  <c r="L12" i="36" s="1"/>
  <c r="I11" i="36"/>
  <c r="L11" i="36" s="1"/>
  <c r="I10" i="36"/>
  <c r="L10" i="36" s="1"/>
  <c r="I9" i="36"/>
  <c r="L9" i="36" s="1"/>
  <c r="I8" i="36"/>
  <c r="L8" i="36" s="1"/>
  <c r="I7" i="36"/>
  <c r="L7" i="36" s="1"/>
  <c r="I6" i="36"/>
  <c r="I153" i="36" s="1"/>
  <c r="I5" i="36"/>
  <c r="L5" i="36" s="1"/>
  <c r="L6" i="36" l="1"/>
  <c r="L153" i="36" s="1"/>
  <c r="C13" i="22" l="1"/>
  <c r="S154" i="35"/>
  <c r="T154" i="35"/>
  <c r="G9" i="35"/>
  <c r="G10" i="35"/>
  <c r="G11" i="35"/>
  <c r="G17" i="35"/>
  <c r="G18" i="35"/>
  <c r="G19" i="35"/>
  <c r="G25" i="35"/>
  <c r="G26" i="35"/>
  <c r="G27" i="35"/>
  <c r="G33" i="35"/>
  <c r="G34" i="35"/>
  <c r="G35" i="35"/>
  <c r="G41" i="35"/>
  <c r="G42" i="35"/>
  <c r="G43" i="35"/>
  <c r="G49" i="35"/>
  <c r="G50" i="35"/>
  <c r="G51" i="35"/>
  <c r="G57" i="35"/>
  <c r="G58" i="35"/>
  <c r="G59" i="35"/>
  <c r="G65" i="35"/>
  <c r="G66" i="35"/>
  <c r="G67" i="35"/>
  <c r="G73" i="35"/>
  <c r="G74" i="35"/>
  <c r="G76" i="35"/>
  <c r="G80" i="35"/>
  <c r="G81" i="35"/>
  <c r="G82" i="35"/>
  <c r="G84" i="35"/>
  <c r="G91" i="35"/>
  <c r="G92" i="35"/>
  <c r="G96" i="35"/>
  <c r="G97" i="35"/>
  <c r="G100" i="35"/>
  <c r="G104" i="35"/>
  <c r="G105" i="35"/>
  <c r="G108" i="35"/>
  <c r="G112" i="35"/>
  <c r="G113" i="35"/>
  <c r="G116" i="35"/>
  <c r="G120" i="35"/>
  <c r="G121" i="35"/>
  <c r="G124" i="35"/>
  <c r="G128" i="35"/>
  <c r="G129" i="35"/>
  <c r="G132" i="35"/>
  <c r="G136" i="35"/>
  <c r="G137" i="35"/>
  <c r="G140" i="35"/>
  <c r="G144" i="35"/>
  <c r="G145" i="35"/>
  <c r="G148" i="35"/>
  <c r="G152" i="35"/>
  <c r="G153" i="35"/>
  <c r="G6" i="35"/>
  <c r="E13" i="35"/>
  <c r="E29" i="35"/>
  <c r="E30" i="35"/>
  <c r="E53" i="35"/>
  <c r="E61" i="35"/>
  <c r="E62" i="35"/>
  <c r="E85" i="35"/>
  <c r="E92" i="35"/>
  <c r="E113" i="35"/>
  <c r="E123" i="35"/>
  <c r="E131" i="35"/>
  <c r="E132" i="35"/>
  <c r="E139" i="35"/>
  <c r="R156" i="35"/>
  <c r="L153" i="35"/>
  <c r="E153" i="35"/>
  <c r="L152" i="35"/>
  <c r="H152" i="35"/>
  <c r="I152" i="35" s="1"/>
  <c r="L151" i="35"/>
  <c r="G151" i="35"/>
  <c r="H151" i="35"/>
  <c r="L150" i="35"/>
  <c r="G150" i="35"/>
  <c r="L149" i="35"/>
  <c r="G149" i="35"/>
  <c r="E149" i="35"/>
  <c r="L148" i="35"/>
  <c r="E148" i="35"/>
  <c r="L147" i="35"/>
  <c r="G147" i="35"/>
  <c r="H147" i="35"/>
  <c r="L146" i="35"/>
  <c r="G146" i="35"/>
  <c r="L145" i="35"/>
  <c r="E145" i="35"/>
  <c r="L144" i="35"/>
  <c r="H144" i="35"/>
  <c r="I144" i="35" s="1"/>
  <c r="L143" i="35"/>
  <c r="G143" i="35"/>
  <c r="E143" i="35"/>
  <c r="L142" i="35"/>
  <c r="G142" i="35"/>
  <c r="L141" i="35"/>
  <c r="G141" i="35"/>
  <c r="E141" i="35"/>
  <c r="L140" i="35"/>
  <c r="E140" i="35"/>
  <c r="L139" i="35"/>
  <c r="G139" i="35"/>
  <c r="L138" i="35"/>
  <c r="G138" i="35"/>
  <c r="L137" i="35"/>
  <c r="E137" i="35"/>
  <c r="L136" i="35"/>
  <c r="E136" i="35"/>
  <c r="L135" i="35"/>
  <c r="G135" i="35"/>
  <c r="H135" i="35"/>
  <c r="L134" i="35"/>
  <c r="G134" i="35"/>
  <c r="L133" i="35"/>
  <c r="G133" i="35"/>
  <c r="E133" i="35"/>
  <c r="L132" i="35"/>
  <c r="L131" i="35"/>
  <c r="G131" i="35"/>
  <c r="L130" i="35"/>
  <c r="G130" i="35"/>
  <c r="L129" i="35"/>
  <c r="E129" i="35"/>
  <c r="L128" i="35"/>
  <c r="H128" i="35"/>
  <c r="I128" i="35" s="1"/>
  <c r="L127" i="35"/>
  <c r="G127" i="35"/>
  <c r="E127" i="35"/>
  <c r="L126" i="35"/>
  <c r="G126" i="35"/>
  <c r="E126" i="35"/>
  <c r="L125" i="35"/>
  <c r="G125" i="35"/>
  <c r="H125" i="35"/>
  <c r="R124" i="35"/>
  <c r="L124" i="35"/>
  <c r="E124" i="35"/>
  <c r="L123" i="35"/>
  <c r="G123" i="35"/>
  <c r="L122" i="35"/>
  <c r="G122" i="35"/>
  <c r="E122" i="35"/>
  <c r="L121" i="35"/>
  <c r="E121" i="35"/>
  <c r="L120" i="35"/>
  <c r="E120" i="35"/>
  <c r="L119" i="35"/>
  <c r="G119" i="35"/>
  <c r="H119" i="35"/>
  <c r="L118" i="35"/>
  <c r="G118" i="35"/>
  <c r="H118" i="35"/>
  <c r="L117" i="35"/>
  <c r="G117" i="35"/>
  <c r="E117" i="35"/>
  <c r="L116" i="35"/>
  <c r="E116" i="35"/>
  <c r="L115" i="35"/>
  <c r="G115" i="35"/>
  <c r="E115" i="35"/>
  <c r="L114" i="35"/>
  <c r="G114" i="35"/>
  <c r="H114" i="35"/>
  <c r="L113" i="35"/>
  <c r="L112" i="35"/>
  <c r="E112" i="35"/>
  <c r="L111" i="35"/>
  <c r="G111" i="35"/>
  <c r="E111" i="35"/>
  <c r="L110" i="35"/>
  <c r="G110" i="35"/>
  <c r="E110" i="35"/>
  <c r="L109" i="35"/>
  <c r="G109" i="35"/>
  <c r="E109" i="35"/>
  <c r="L108" i="35"/>
  <c r="E108" i="35"/>
  <c r="L107" i="35"/>
  <c r="G107" i="35"/>
  <c r="E107" i="35"/>
  <c r="L106" i="35"/>
  <c r="G106" i="35"/>
  <c r="E106" i="35"/>
  <c r="L105" i="35"/>
  <c r="E105" i="35"/>
  <c r="L104" i="35"/>
  <c r="H104" i="35"/>
  <c r="L103" i="35"/>
  <c r="G103" i="35"/>
  <c r="H103" i="35"/>
  <c r="L102" i="35"/>
  <c r="G102" i="35"/>
  <c r="H102" i="35"/>
  <c r="I102" i="35" s="1"/>
  <c r="L101" i="35"/>
  <c r="G101" i="35"/>
  <c r="E101" i="35"/>
  <c r="L100" i="35"/>
  <c r="L99" i="35"/>
  <c r="G99" i="35"/>
  <c r="E99" i="35"/>
  <c r="L98" i="35"/>
  <c r="G98" i="35"/>
  <c r="H98" i="35"/>
  <c r="I98" i="35" s="1"/>
  <c r="L97" i="35"/>
  <c r="E97" i="35"/>
  <c r="L96" i="35"/>
  <c r="E96" i="35"/>
  <c r="L95" i="35"/>
  <c r="G95" i="35"/>
  <c r="L94" i="35"/>
  <c r="G94" i="35"/>
  <c r="E94" i="35"/>
  <c r="L93" i="35"/>
  <c r="G93" i="35"/>
  <c r="E93" i="35"/>
  <c r="L92" i="35"/>
  <c r="L91" i="35"/>
  <c r="L90" i="35"/>
  <c r="G90" i="35"/>
  <c r="L89" i="35"/>
  <c r="G89" i="35"/>
  <c r="E89" i="35"/>
  <c r="L88" i="35"/>
  <c r="L87" i="35"/>
  <c r="G87" i="35"/>
  <c r="L86" i="35"/>
  <c r="G86" i="35"/>
  <c r="E86" i="35"/>
  <c r="L85" i="35"/>
  <c r="G85" i="35"/>
  <c r="L84" i="35"/>
  <c r="L83" i="35"/>
  <c r="G83" i="35"/>
  <c r="L82" i="35"/>
  <c r="H82" i="35"/>
  <c r="J82" i="35" s="1"/>
  <c r="L81" i="35"/>
  <c r="H81" i="35"/>
  <c r="L80" i="35"/>
  <c r="L79" i="35"/>
  <c r="G79" i="35"/>
  <c r="L78" i="35"/>
  <c r="G78" i="35"/>
  <c r="E78" i="35"/>
  <c r="L77" i="35"/>
  <c r="G77" i="35"/>
  <c r="E77" i="35"/>
  <c r="L76" i="35"/>
  <c r="L75" i="35"/>
  <c r="G75" i="35"/>
  <c r="L74" i="35"/>
  <c r="E74" i="35"/>
  <c r="L73" i="35"/>
  <c r="L72" i="35"/>
  <c r="G72" i="35"/>
  <c r="E72" i="35"/>
  <c r="L71" i="35"/>
  <c r="G71" i="35"/>
  <c r="E71" i="35"/>
  <c r="L70" i="35"/>
  <c r="G70" i="35"/>
  <c r="H70" i="35"/>
  <c r="L69" i="35"/>
  <c r="G69" i="35"/>
  <c r="H69" i="35"/>
  <c r="L68" i="35"/>
  <c r="G68" i="35"/>
  <c r="L67" i="35"/>
  <c r="H67" i="35"/>
  <c r="I67" i="35" s="1"/>
  <c r="L66" i="35"/>
  <c r="E66" i="35"/>
  <c r="L65" i="35"/>
  <c r="E65" i="35"/>
  <c r="L64" i="35"/>
  <c r="G64" i="35"/>
  <c r="E64" i="35"/>
  <c r="L63" i="35"/>
  <c r="G63" i="35"/>
  <c r="E63" i="35"/>
  <c r="L62" i="35"/>
  <c r="G62" i="35"/>
  <c r="L61" i="35"/>
  <c r="G61" i="35"/>
  <c r="H61" i="35"/>
  <c r="L60" i="35"/>
  <c r="G60" i="35"/>
  <c r="L59" i="35"/>
  <c r="H59" i="35"/>
  <c r="L58" i="35"/>
  <c r="E58" i="35"/>
  <c r="L57" i="35"/>
  <c r="H57" i="35"/>
  <c r="I57" i="35" s="1"/>
  <c r="L56" i="35"/>
  <c r="G56" i="35"/>
  <c r="E56" i="35"/>
  <c r="L55" i="35"/>
  <c r="G55" i="35"/>
  <c r="E55" i="35"/>
  <c r="L54" i="35"/>
  <c r="G54" i="35"/>
  <c r="H54" i="35"/>
  <c r="L53" i="35"/>
  <c r="G53" i="35"/>
  <c r="L52" i="35"/>
  <c r="G52" i="35"/>
  <c r="L51" i="35"/>
  <c r="H51" i="35"/>
  <c r="L50" i="35"/>
  <c r="E50" i="35"/>
  <c r="L49" i="35"/>
  <c r="E49" i="35"/>
  <c r="L48" i="35"/>
  <c r="G48" i="35"/>
  <c r="E48" i="35"/>
  <c r="L47" i="35"/>
  <c r="G47" i="35"/>
  <c r="H47" i="35"/>
  <c r="I47" i="35" s="1"/>
  <c r="L46" i="35"/>
  <c r="G46" i="35"/>
  <c r="H46" i="35"/>
  <c r="L45" i="35"/>
  <c r="G45" i="35"/>
  <c r="E45" i="35"/>
  <c r="L44" i="35"/>
  <c r="G44" i="35"/>
  <c r="L43" i="35"/>
  <c r="E43" i="35"/>
  <c r="L42" i="35"/>
  <c r="E42" i="35"/>
  <c r="L41" i="35"/>
  <c r="H41" i="35"/>
  <c r="L40" i="35"/>
  <c r="G40" i="35"/>
  <c r="L39" i="35"/>
  <c r="G39" i="35"/>
  <c r="H39" i="35"/>
  <c r="I39" i="35" s="1"/>
  <c r="L38" i="35"/>
  <c r="G38" i="35"/>
  <c r="E38" i="35"/>
  <c r="L37" i="35"/>
  <c r="G37" i="35"/>
  <c r="H37" i="35"/>
  <c r="I37" i="35" s="1"/>
  <c r="L36" i="35"/>
  <c r="G36" i="35"/>
  <c r="E36" i="35"/>
  <c r="L35" i="35"/>
  <c r="E35" i="35"/>
  <c r="L34" i="35"/>
  <c r="E34" i="35"/>
  <c r="L33" i="35"/>
  <c r="H33" i="35"/>
  <c r="L32" i="35"/>
  <c r="G32" i="35"/>
  <c r="L31" i="35"/>
  <c r="G31" i="35"/>
  <c r="H31" i="35"/>
  <c r="L30" i="35"/>
  <c r="G30" i="35"/>
  <c r="L29" i="35"/>
  <c r="G29" i="35"/>
  <c r="L28" i="35"/>
  <c r="G28" i="35"/>
  <c r="E28" i="35"/>
  <c r="L27" i="35"/>
  <c r="E27" i="35"/>
  <c r="L26" i="35"/>
  <c r="E26" i="35"/>
  <c r="L25" i="35"/>
  <c r="E25" i="35"/>
  <c r="L24" i="35"/>
  <c r="G24" i="35"/>
  <c r="L23" i="35"/>
  <c r="G23" i="35"/>
  <c r="E23" i="35"/>
  <c r="L22" i="35"/>
  <c r="G22" i="35"/>
  <c r="E22" i="35"/>
  <c r="L21" i="35"/>
  <c r="G21" i="35"/>
  <c r="E21" i="35"/>
  <c r="L20" i="35"/>
  <c r="G20" i="35"/>
  <c r="E20" i="35"/>
  <c r="L19" i="35"/>
  <c r="E19" i="35"/>
  <c r="L18" i="35"/>
  <c r="E18" i="35"/>
  <c r="L17" i="35"/>
  <c r="E17" i="35"/>
  <c r="L16" i="35"/>
  <c r="G16" i="35"/>
  <c r="L15" i="35"/>
  <c r="G15" i="35"/>
  <c r="E15" i="35"/>
  <c r="L14" i="35"/>
  <c r="G14" i="35"/>
  <c r="E14" i="35"/>
  <c r="L13" i="35"/>
  <c r="G13" i="35"/>
  <c r="L12" i="35"/>
  <c r="G12" i="35"/>
  <c r="E12" i="35"/>
  <c r="L11" i="35"/>
  <c r="E11" i="35"/>
  <c r="L10" i="35"/>
  <c r="E10" i="35"/>
  <c r="L9" i="35"/>
  <c r="E9" i="35"/>
  <c r="L8" i="35"/>
  <c r="G8" i="35"/>
  <c r="L7" i="35"/>
  <c r="G7" i="35"/>
  <c r="E7" i="35"/>
  <c r="L6" i="35"/>
  <c r="E6" i="35"/>
  <c r="S155" i="34"/>
  <c r="R155" i="34"/>
  <c r="Q155" i="34"/>
  <c r="P155" i="34"/>
  <c r="O155" i="34"/>
  <c r="N155" i="34"/>
  <c r="M155" i="34"/>
  <c r="L155" i="34"/>
  <c r="K155" i="34"/>
  <c r="J155" i="34"/>
  <c r="I155" i="34"/>
  <c r="H155" i="34"/>
  <c r="G155" i="34"/>
  <c r="F155" i="34"/>
  <c r="E155" i="34"/>
  <c r="D155" i="34"/>
  <c r="C155" i="34"/>
  <c r="V153" i="34"/>
  <c r="U153" i="34"/>
  <c r="T153" i="34"/>
  <c r="W153" i="34" s="1"/>
  <c r="V152" i="34"/>
  <c r="W152" i="34" s="1"/>
  <c r="U152" i="34"/>
  <c r="T152" i="34"/>
  <c r="V151" i="34"/>
  <c r="U151" i="34"/>
  <c r="T151" i="34"/>
  <c r="V150" i="34"/>
  <c r="U150" i="34"/>
  <c r="T150" i="34"/>
  <c r="V149" i="34"/>
  <c r="U149" i="34"/>
  <c r="T149" i="34"/>
  <c r="V148" i="34"/>
  <c r="U148" i="34"/>
  <c r="T148" i="34"/>
  <c r="V147" i="34"/>
  <c r="U147" i="34"/>
  <c r="T147" i="34"/>
  <c r="V146" i="34"/>
  <c r="U146" i="34"/>
  <c r="T146" i="34"/>
  <c r="V145" i="34"/>
  <c r="U145" i="34"/>
  <c r="T145" i="34"/>
  <c r="W145" i="34" s="1"/>
  <c r="V144" i="34"/>
  <c r="W144" i="34" s="1"/>
  <c r="U144" i="34"/>
  <c r="T144" i="34"/>
  <c r="V143" i="34"/>
  <c r="U143" i="34"/>
  <c r="T143" i="34"/>
  <c r="V142" i="34"/>
  <c r="U142" i="34"/>
  <c r="T142" i="34"/>
  <c r="V141" i="34"/>
  <c r="U141" i="34"/>
  <c r="T141" i="34"/>
  <c r="V140" i="34"/>
  <c r="W140" i="34" s="1"/>
  <c r="U140" i="34"/>
  <c r="T140" i="34"/>
  <c r="V139" i="34"/>
  <c r="U139" i="34"/>
  <c r="T139" i="34"/>
  <c r="V138" i="34"/>
  <c r="U138" i="34"/>
  <c r="T138" i="34"/>
  <c r="V137" i="34"/>
  <c r="U137" i="34"/>
  <c r="T137" i="34"/>
  <c r="W137" i="34" s="1"/>
  <c r="V136" i="34"/>
  <c r="W136" i="34" s="1"/>
  <c r="U136" i="34"/>
  <c r="T136" i="34"/>
  <c r="V135" i="34"/>
  <c r="U135" i="34"/>
  <c r="T135" i="34"/>
  <c r="V134" i="34"/>
  <c r="U134" i="34"/>
  <c r="T134" i="34"/>
  <c r="V133" i="34"/>
  <c r="U133" i="34"/>
  <c r="T133" i="34"/>
  <c r="V132" i="34"/>
  <c r="W132" i="34" s="1"/>
  <c r="U132" i="34"/>
  <c r="T132" i="34"/>
  <c r="V131" i="34"/>
  <c r="U131" i="34"/>
  <c r="T131" i="34"/>
  <c r="V130" i="34"/>
  <c r="U130" i="34"/>
  <c r="T130" i="34"/>
  <c r="V129" i="34"/>
  <c r="U129" i="34"/>
  <c r="T129" i="34"/>
  <c r="W129" i="34" s="1"/>
  <c r="V128" i="34"/>
  <c r="W128" i="34" s="1"/>
  <c r="U128" i="34"/>
  <c r="T128" i="34"/>
  <c r="V127" i="34"/>
  <c r="U127" i="34"/>
  <c r="T127" i="34"/>
  <c r="V126" i="34"/>
  <c r="U126" i="34"/>
  <c r="T126" i="34"/>
  <c r="V125" i="34"/>
  <c r="U125" i="34"/>
  <c r="T125" i="34"/>
  <c r="V124" i="34"/>
  <c r="W124" i="34" s="1"/>
  <c r="U124" i="34"/>
  <c r="T124" i="34"/>
  <c r="V123" i="34"/>
  <c r="U123" i="34"/>
  <c r="T123" i="34"/>
  <c r="V122" i="34"/>
  <c r="U122" i="34"/>
  <c r="T122" i="34"/>
  <c r="V121" i="34"/>
  <c r="U121" i="34"/>
  <c r="T121" i="34"/>
  <c r="W121" i="34" s="1"/>
  <c r="V120" i="34"/>
  <c r="W120" i="34" s="1"/>
  <c r="U120" i="34"/>
  <c r="T120" i="34"/>
  <c r="V119" i="34"/>
  <c r="U119" i="34"/>
  <c r="T119" i="34"/>
  <c r="V118" i="34"/>
  <c r="U118" i="34"/>
  <c r="T118" i="34"/>
  <c r="V117" i="34"/>
  <c r="U117" i="34"/>
  <c r="T117" i="34"/>
  <c r="V116" i="34"/>
  <c r="W116" i="34" s="1"/>
  <c r="U116" i="34"/>
  <c r="T116" i="34"/>
  <c r="V115" i="34"/>
  <c r="U115" i="34"/>
  <c r="T115" i="34"/>
  <c r="V114" i="34"/>
  <c r="U114" i="34"/>
  <c r="T114" i="34"/>
  <c r="V113" i="34"/>
  <c r="U113" i="34"/>
  <c r="T113" i="34"/>
  <c r="W113" i="34" s="1"/>
  <c r="V112" i="34"/>
  <c r="W112" i="34" s="1"/>
  <c r="U112" i="34"/>
  <c r="T112" i="34"/>
  <c r="V111" i="34"/>
  <c r="U111" i="34"/>
  <c r="T111" i="34"/>
  <c r="V110" i="34"/>
  <c r="U110" i="34"/>
  <c r="T110" i="34"/>
  <c r="V109" i="34"/>
  <c r="U109" i="34"/>
  <c r="T109" i="34"/>
  <c r="V108" i="34"/>
  <c r="W108" i="34" s="1"/>
  <c r="U108" i="34"/>
  <c r="T108" i="34"/>
  <c r="V107" i="34"/>
  <c r="U107" i="34"/>
  <c r="T107" i="34"/>
  <c r="V106" i="34"/>
  <c r="U106" i="34"/>
  <c r="T106" i="34"/>
  <c r="W106" i="34" s="1"/>
  <c r="V105" i="34"/>
  <c r="U105" i="34"/>
  <c r="T105" i="34"/>
  <c r="V104" i="34"/>
  <c r="W104" i="34" s="1"/>
  <c r="U104" i="34"/>
  <c r="T104" i="34"/>
  <c r="V103" i="34"/>
  <c r="U103" i="34"/>
  <c r="T103" i="34"/>
  <c r="V102" i="34"/>
  <c r="W102" i="34" s="1"/>
  <c r="U102" i="34"/>
  <c r="T102" i="34"/>
  <c r="V101" i="34"/>
  <c r="U101" i="34"/>
  <c r="T101" i="34"/>
  <c r="W101" i="34" s="1"/>
  <c r="V100" i="34"/>
  <c r="U100" i="34"/>
  <c r="T100" i="34"/>
  <c r="V99" i="34"/>
  <c r="U99" i="34"/>
  <c r="T99" i="34"/>
  <c r="V98" i="34"/>
  <c r="U98" i="34"/>
  <c r="T98" i="34"/>
  <c r="V97" i="34"/>
  <c r="U97" i="34"/>
  <c r="T97" i="34"/>
  <c r="V96" i="34"/>
  <c r="W96" i="34" s="1"/>
  <c r="U96" i="34"/>
  <c r="T96" i="34"/>
  <c r="V95" i="34"/>
  <c r="U95" i="34"/>
  <c r="T95" i="34"/>
  <c r="V94" i="34"/>
  <c r="W94" i="34" s="1"/>
  <c r="U94" i="34"/>
  <c r="T94" i="34"/>
  <c r="V93" i="34"/>
  <c r="U93" i="34"/>
  <c r="T93" i="34"/>
  <c r="W93" i="34" s="1"/>
  <c r="V92" i="34"/>
  <c r="U92" i="34"/>
  <c r="T92" i="34"/>
  <c r="V91" i="34"/>
  <c r="U91" i="34"/>
  <c r="T91" i="34"/>
  <c r="V90" i="34"/>
  <c r="U90" i="34"/>
  <c r="T90" i="34"/>
  <c r="W90" i="34" s="1"/>
  <c r="V89" i="34"/>
  <c r="U89" i="34"/>
  <c r="T89" i="34"/>
  <c r="V88" i="34"/>
  <c r="U88" i="34"/>
  <c r="T88" i="34"/>
  <c r="V87" i="34"/>
  <c r="U87" i="34"/>
  <c r="T87" i="34"/>
  <c r="W87" i="34" s="1"/>
  <c r="V86" i="34"/>
  <c r="W86" i="34" s="1"/>
  <c r="U86" i="34"/>
  <c r="T86" i="34"/>
  <c r="V85" i="34"/>
  <c r="U85" i="34"/>
  <c r="T85" i="34"/>
  <c r="V84" i="34"/>
  <c r="U84" i="34"/>
  <c r="T84" i="34"/>
  <c r="V83" i="34"/>
  <c r="U83" i="34"/>
  <c r="T83" i="34"/>
  <c r="V82" i="34"/>
  <c r="W82" i="34" s="1"/>
  <c r="U82" i="34"/>
  <c r="T82" i="34"/>
  <c r="V81" i="34"/>
  <c r="U81" i="34"/>
  <c r="T81" i="34"/>
  <c r="V80" i="34"/>
  <c r="U80" i="34"/>
  <c r="T80" i="34"/>
  <c r="V79" i="34"/>
  <c r="U79" i="34"/>
  <c r="T79" i="34"/>
  <c r="W79" i="34" s="1"/>
  <c r="V78" i="34"/>
  <c r="W78" i="34" s="1"/>
  <c r="U78" i="34"/>
  <c r="T78" i="34"/>
  <c r="V77" i="34"/>
  <c r="U77" i="34"/>
  <c r="T77" i="34"/>
  <c r="V76" i="34"/>
  <c r="U76" i="34"/>
  <c r="T76" i="34"/>
  <c r="V75" i="34"/>
  <c r="U75" i="34"/>
  <c r="T75" i="34"/>
  <c r="V74" i="34"/>
  <c r="U74" i="34"/>
  <c r="T74" i="34"/>
  <c r="W74" i="34" s="1"/>
  <c r="V73" i="34"/>
  <c r="U73" i="34"/>
  <c r="T73" i="34"/>
  <c r="V72" i="34"/>
  <c r="U72" i="34"/>
  <c r="T72" i="34"/>
  <c r="V71" i="34"/>
  <c r="U71" i="34"/>
  <c r="T71" i="34"/>
  <c r="V70" i="34"/>
  <c r="W70" i="34" s="1"/>
  <c r="U70" i="34"/>
  <c r="T70" i="34"/>
  <c r="V69" i="34"/>
  <c r="U69" i="34"/>
  <c r="T69" i="34"/>
  <c r="V68" i="34"/>
  <c r="W68" i="34" s="1"/>
  <c r="U68" i="34"/>
  <c r="T68" i="34"/>
  <c r="V67" i="34"/>
  <c r="U67" i="34"/>
  <c r="T67" i="34"/>
  <c r="W67" i="34" s="1"/>
  <c r="V66" i="34"/>
  <c r="U66" i="34"/>
  <c r="T66" i="34"/>
  <c r="V65" i="34"/>
  <c r="U65" i="34"/>
  <c r="T65" i="34"/>
  <c r="V64" i="34"/>
  <c r="U64" i="34"/>
  <c r="T64" i="34"/>
  <c r="V63" i="34"/>
  <c r="U63" i="34"/>
  <c r="T63" i="34"/>
  <c r="V62" i="34"/>
  <c r="W62" i="34" s="1"/>
  <c r="U62" i="34"/>
  <c r="T62" i="34"/>
  <c r="V61" i="34"/>
  <c r="U61" i="34"/>
  <c r="T61" i="34"/>
  <c r="V60" i="34"/>
  <c r="W60" i="34" s="1"/>
  <c r="U60" i="34"/>
  <c r="T60" i="34"/>
  <c r="V59" i="34"/>
  <c r="U59" i="34"/>
  <c r="T59" i="34"/>
  <c r="W59" i="34" s="1"/>
  <c r="V58" i="34"/>
  <c r="U58" i="34"/>
  <c r="T58" i="34"/>
  <c r="W58" i="34" s="1"/>
  <c r="V57" i="34"/>
  <c r="U57" i="34"/>
  <c r="T57" i="34"/>
  <c r="V56" i="34"/>
  <c r="W56" i="34" s="1"/>
  <c r="U56" i="34"/>
  <c r="T56" i="34"/>
  <c r="V55" i="34"/>
  <c r="U55" i="34"/>
  <c r="T55" i="34"/>
  <c r="V54" i="34"/>
  <c r="U54" i="34"/>
  <c r="T54" i="34"/>
  <c r="V53" i="34"/>
  <c r="U53" i="34"/>
  <c r="T53" i="34"/>
  <c r="W53" i="34" s="1"/>
  <c r="V52" i="34"/>
  <c r="W52" i="34" s="1"/>
  <c r="U52" i="34"/>
  <c r="T52" i="34"/>
  <c r="V51" i="34"/>
  <c r="U51" i="34"/>
  <c r="T51" i="34"/>
  <c r="V50" i="34"/>
  <c r="U50" i="34"/>
  <c r="T50" i="34"/>
  <c r="V49" i="34"/>
  <c r="U49" i="34"/>
  <c r="T49" i="34"/>
  <c r="V48" i="34"/>
  <c r="W48" i="34" s="1"/>
  <c r="U48" i="34"/>
  <c r="T48" i="34"/>
  <c r="V47" i="34"/>
  <c r="U47" i="34"/>
  <c r="T47" i="34"/>
  <c r="V46" i="34"/>
  <c r="U46" i="34"/>
  <c r="T46" i="34"/>
  <c r="V45" i="34"/>
  <c r="U45" i="34"/>
  <c r="T45" i="34"/>
  <c r="W45" i="34" s="1"/>
  <c r="V44" i="34"/>
  <c r="W44" i="34" s="1"/>
  <c r="U44" i="34"/>
  <c r="T44" i="34"/>
  <c r="V43" i="34"/>
  <c r="U43" i="34"/>
  <c r="T43" i="34"/>
  <c r="V42" i="34"/>
  <c r="U42" i="34"/>
  <c r="T42" i="34"/>
  <c r="W42" i="34" s="1"/>
  <c r="V41" i="34"/>
  <c r="U41" i="34"/>
  <c r="T41" i="34"/>
  <c r="W41" i="34" s="1"/>
  <c r="V40" i="34"/>
  <c r="U40" i="34"/>
  <c r="T40" i="34"/>
  <c r="V39" i="34"/>
  <c r="U39" i="34"/>
  <c r="T39" i="34"/>
  <c r="V38" i="34"/>
  <c r="U38" i="34"/>
  <c r="T38" i="34"/>
  <c r="V37" i="34"/>
  <c r="U37" i="34"/>
  <c r="T37" i="34"/>
  <c r="V36" i="34"/>
  <c r="W36" i="34" s="1"/>
  <c r="U36" i="34"/>
  <c r="T36" i="34"/>
  <c r="V35" i="34"/>
  <c r="U35" i="34"/>
  <c r="T35" i="34"/>
  <c r="V34" i="34"/>
  <c r="W34" i="34" s="1"/>
  <c r="U34" i="34"/>
  <c r="T34" i="34"/>
  <c r="V33" i="34"/>
  <c r="U33" i="34"/>
  <c r="T33" i="34"/>
  <c r="W33" i="34" s="1"/>
  <c r="V32" i="34"/>
  <c r="U32" i="34"/>
  <c r="T32" i="34"/>
  <c r="V31" i="34"/>
  <c r="U31" i="34"/>
  <c r="T31" i="34"/>
  <c r="V30" i="34"/>
  <c r="U30" i="34"/>
  <c r="T30" i="34"/>
  <c r="V29" i="34"/>
  <c r="U29" i="34"/>
  <c r="T29" i="34"/>
  <c r="V28" i="34"/>
  <c r="W28" i="34" s="1"/>
  <c r="U28" i="34"/>
  <c r="T28" i="34"/>
  <c r="V27" i="34"/>
  <c r="U27" i="34"/>
  <c r="T27" i="34"/>
  <c r="W26" i="34"/>
  <c r="V26" i="34"/>
  <c r="U26" i="34"/>
  <c r="T26" i="34"/>
  <c r="V25" i="34"/>
  <c r="U25" i="34"/>
  <c r="T25" i="34"/>
  <c r="V24" i="34"/>
  <c r="U24" i="34"/>
  <c r="T24" i="34"/>
  <c r="V23" i="34"/>
  <c r="U23" i="34"/>
  <c r="T23" i="34"/>
  <c r="V22" i="34"/>
  <c r="W22" i="34" s="1"/>
  <c r="U22" i="34"/>
  <c r="T22" i="34"/>
  <c r="V21" i="34"/>
  <c r="U21" i="34"/>
  <c r="T21" i="34"/>
  <c r="V20" i="34"/>
  <c r="U20" i="34"/>
  <c r="T20" i="34"/>
  <c r="V19" i="34"/>
  <c r="U19" i="34"/>
  <c r="T19" i="34"/>
  <c r="W19" i="34" s="1"/>
  <c r="V18" i="34"/>
  <c r="W18" i="34" s="1"/>
  <c r="U18" i="34"/>
  <c r="T18" i="34"/>
  <c r="V17" i="34"/>
  <c r="U17" i="34"/>
  <c r="T17" i="34"/>
  <c r="V16" i="34"/>
  <c r="U16" i="34"/>
  <c r="T16" i="34"/>
  <c r="V15" i="34"/>
  <c r="U15" i="34"/>
  <c r="T15" i="34"/>
  <c r="V14" i="34"/>
  <c r="W14" i="34" s="1"/>
  <c r="U14" i="34"/>
  <c r="T14" i="34"/>
  <c r="V13" i="34"/>
  <c r="U13" i="34"/>
  <c r="T13" i="34"/>
  <c r="V12" i="34"/>
  <c r="U12" i="34"/>
  <c r="T12" i="34"/>
  <c r="V11" i="34"/>
  <c r="U11" i="34"/>
  <c r="T11" i="34"/>
  <c r="W11" i="34" s="1"/>
  <c r="W10" i="34"/>
  <c r="V10" i="34"/>
  <c r="U10" i="34"/>
  <c r="T10" i="34"/>
  <c r="V9" i="34"/>
  <c r="U9" i="34"/>
  <c r="T9" i="34"/>
  <c r="V8" i="34"/>
  <c r="W8" i="34" s="1"/>
  <c r="U8" i="34"/>
  <c r="T8" i="34"/>
  <c r="V7" i="34"/>
  <c r="U7" i="34"/>
  <c r="T7" i="34"/>
  <c r="W7" i="34" s="1"/>
  <c r="V6" i="34"/>
  <c r="U6" i="34"/>
  <c r="U155" i="34" s="1"/>
  <c r="T6" i="34"/>
  <c r="T155" i="34" s="1"/>
  <c r="M157" i="10"/>
  <c r="L157" i="10"/>
  <c r="D157" i="10"/>
  <c r="E157" i="10"/>
  <c r="F157" i="10"/>
  <c r="G157" i="10"/>
  <c r="H157" i="10"/>
  <c r="I157" i="10"/>
  <c r="J157" i="10"/>
  <c r="K157" i="10"/>
  <c r="C157" i="10"/>
  <c r="W9" i="34" l="1"/>
  <c r="W16" i="34"/>
  <c r="W24" i="34"/>
  <c r="W27" i="34"/>
  <c r="W35" i="34"/>
  <c r="W50" i="34"/>
  <c r="W61" i="34"/>
  <c r="W69" i="34"/>
  <c r="W76" i="34"/>
  <c r="W84" i="34"/>
  <c r="W95" i="34"/>
  <c r="W103" i="34"/>
  <c r="W110" i="34"/>
  <c r="W118" i="34"/>
  <c r="W126" i="34"/>
  <c r="W134" i="34"/>
  <c r="W142" i="34"/>
  <c r="W150" i="34"/>
  <c r="W17" i="34"/>
  <c r="W25" i="34"/>
  <c r="W32" i="34"/>
  <c r="W40" i="34"/>
  <c r="W43" i="34"/>
  <c r="W51" i="34"/>
  <c r="W66" i="34"/>
  <c r="W77" i="34"/>
  <c r="W85" i="34"/>
  <c r="W92" i="34"/>
  <c r="W100" i="34"/>
  <c r="W111" i="34"/>
  <c r="W119" i="34"/>
  <c r="W127" i="34"/>
  <c r="W135" i="34"/>
  <c r="W143" i="34"/>
  <c r="W151" i="34"/>
  <c r="W148" i="34"/>
  <c r="W15" i="34"/>
  <c r="W23" i="34"/>
  <c r="W30" i="34"/>
  <c r="W38" i="34"/>
  <c r="W49" i="34"/>
  <c r="W57" i="34"/>
  <c r="W64" i="34"/>
  <c r="W72" i="34"/>
  <c r="W75" i="34"/>
  <c r="W83" i="34"/>
  <c r="W98" i="34"/>
  <c r="W109" i="34"/>
  <c r="W117" i="34"/>
  <c r="W125" i="34"/>
  <c r="W133" i="34"/>
  <c r="W141" i="34"/>
  <c r="W149" i="34"/>
  <c r="W12" i="34"/>
  <c r="W20" i="34"/>
  <c r="W31" i="34"/>
  <c r="W39" i="34"/>
  <c r="W46" i="34"/>
  <c r="W54" i="34"/>
  <c r="W65" i="34"/>
  <c r="W73" i="34"/>
  <c r="W80" i="34"/>
  <c r="W88" i="34"/>
  <c r="W91" i="34"/>
  <c r="W99" i="34"/>
  <c r="W114" i="34"/>
  <c r="W122" i="34"/>
  <c r="W130" i="34"/>
  <c r="W138" i="34"/>
  <c r="W146" i="34"/>
  <c r="W13" i="34"/>
  <c r="W21" i="34"/>
  <c r="W47" i="34"/>
  <c r="W55" i="34"/>
  <c r="W81" i="34"/>
  <c r="W89" i="34"/>
  <c r="W107" i="34"/>
  <c r="W115" i="34"/>
  <c r="W123" i="34"/>
  <c r="W131" i="34"/>
  <c r="W139" i="34"/>
  <c r="W147" i="34"/>
  <c r="W29" i="34"/>
  <c r="W37" i="34"/>
  <c r="W63" i="34"/>
  <c r="W71" i="34"/>
  <c r="W97" i="34"/>
  <c r="W105" i="34"/>
  <c r="E130" i="35"/>
  <c r="E142" i="35"/>
  <c r="E150" i="35"/>
  <c r="E81" i="35"/>
  <c r="E102" i="35"/>
  <c r="E46" i="35"/>
  <c r="E73" i="35"/>
  <c r="H76" i="35"/>
  <c r="J76" i="35" s="1"/>
  <c r="E80" i="35"/>
  <c r="E84" i="35"/>
  <c r="E91" i="35"/>
  <c r="E95" i="35"/>
  <c r="E100" i="35"/>
  <c r="E134" i="35"/>
  <c r="E138" i="35"/>
  <c r="E146" i="35"/>
  <c r="E54" i="35"/>
  <c r="E8" i="35"/>
  <c r="E16" i="35"/>
  <c r="E24" i="35"/>
  <c r="H32" i="35"/>
  <c r="I32" i="35" s="1"/>
  <c r="E40" i="35"/>
  <c r="H96" i="35"/>
  <c r="I96" i="35" s="1"/>
  <c r="J103" i="35"/>
  <c r="E147" i="35"/>
  <c r="E118" i="35"/>
  <c r="E70" i="35"/>
  <c r="E44" i="35"/>
  <c r="E52" i="35"/>
  <c r="E60" i="35"/>
  <c r="E68" i="35"/>
  <c r="E75" i="35"/>
  <c r="E79" i="35"/>
  <c r="H83" i="35"/>
  <c r="I83" i="35" s="1"/>
  <c r="H87" i="35"/>
  <c r="J87" i="35" s="1"/>
  <c r="E90" i="35"/>
  <c r="E69" i="35"/>
  <c r="E37" i="35"/>
  <c r="E76" i="35"/>
  <c r="H72" i="35"/>
  <c r="J72" i="35" s="1"/>
  <c r="E59" i="35"/>
  <c r="E33" i="35"/>
  <c r="J33" i="35"/>
  <c r="H36" i="35"/>
  <c r="I36" i="35" s="1"/>
  <c r="H109" i="35"/>
  <c r="J109" i="35" s="1"/>
  <c r="I119" i="35"/>
  <c r="H126" i="35"/>
  <c r="I126" i="35" s="1"/>
  <c r="E152" i="35"/>
  <c r="E144" i="35"/>
  <c r="E128" i="35"/>
  <c r="E104" i="35"/>
  <c r="E32" i="35"/>
  <c r="E125" i="35"/>
  <c r="E88" i="35"/>
  <c r="H79" i="35"/>
  <c r="I79" i="35" s="1"/>
  <c r="H94" i="35"/>
  <c r="I94" i="35" s="1"/>
  <c r="E83" i="35"/>
  <c r="E67" i="35"/>
  <c r="E51" i="35"/>
  <c r="H71" i="35"/>
  <c r="J71" i="35" s="1"/>
  <c r="J83" i="35"/>
  <c r="K83" i="35" s="1"/>
  <c r="M83" i="35" s="1"/>
  <c r="N83" i="35" s="1"/>
  <c r="J128" i="35"/>
  <c r="K128" i="35" s="1"/>
  <c r="M128" i="35" s="1"/>
  <c r="N128" i="35" s="1"/>
  <c r="P128" i="35" s="1"/>
  <c r="R128" i="35" s="1"/>
  <c r="E114" i="35"/>
  <c r="E98" i="35"/>
  <c r="E82" i="35"/>
  <c r="E57" i="35"/>
  <c r="E41" i="35"/>
  <c r="H52" i="35"/>
  <c r="J52" i="35" s="1"/>
  <c r="H64" i="35"/>
  <c r="J64" i="35" s="1"/>
  <c r="H85" i="35"/>
  <c r="I85" i="35" s="1"/>
  <c r="H130" i="35"/>
  <c r="I130" i="35" s="1"/>
  <c r="H146" i="35"/>
  <c r="I146" i="35" s="1"/>
  <c r="E151" i="35"/>
  <c r="E135" i="35"/>
  <c r="E119" i="35"/>
  <c r="E103" i="35"/>
  <c r="E87" i="35"/>
  <c r="E47" i="35"/>
  <c r="E39" i="35"/>
  <c r="E31" i="35"/>
  <c r="J54" i="35"/>
  <c r="H78" i="35"/>
  <c r="J78" i="35" s="1"/>
  <c r="J147" i="35"/>
  <c r="H63" i="35"/>
  <c r="J63" i="35" s="1"/>
  <c r="H116" i="35"/>
  <c r="J116" i="35" s="1"/>
  <c r="H132" i="35"/>
  <c r="J132" i="35" s="1"/>
  <c r="H75" i="35"/>
  <c r="I75" i="35" s="1"/>
  <c r="H110" i="35"/>
  <c r="J110" i="35" s="1"/>
  <c r="J37" i="35"/>
  <c r="K37" i="35" s="1"/>
  <c r="M37" i="35" s="1"/>
  <c r="J57" i="35"/>
  <c r="K57" i="35" s="1"/>
  <c r="M57" i="35" s="1"/>
  <c r="I125" i="35"/>
  <c r="H65" i="35"/>
  <c r="I65" i="35" s="1"/>
  <c r="H66" i="35"/>
  <c r="I66" i="35" s="1"/>
  <c r="J67" i="35"/>
  <c r="K67" i="35" s="1"/>
  <c r="M67" i="35" s="1"/>
  <c r="N67" i="35" s="1"/>
  <c r="J81" i="35"/>
  <c r="I104" i="35"/>
  <c r="I114" i="35"/>
  <c r="H138" i="35"/>
  <c r="I138" i="35" s="1"/>
  <c r="J144" i="35"/>
  <c r="K144" i="35" s="1"/>
  <c r="M144" i="35" s="1"/>
  <c r="J39" i="35"/>
  <c r="K39" i="35" s="1"/>
  <c r="M39" i="35" s="1"/>
  <c r="H100" i="35"/>
  <c r="J100" i="35" s="1"/>
  <c r="I54" i="35"/>
  <c r="I147" i="35"/>
  <c r="J47" i="35"/>
  <c r="K47" i="35" s="1"/>
  <c r="M47" i="35" s="1"/>
  <c r="H62" i="35"/>
  <c r="I62" i="35" s="1"/>
  <c r="J69" i="35"/>
  <c r="J125" i="35"/>
  <c r="H6" i="35"/>
  <c r="J6" i="35" s="1"/>
  <c r="J31" i="35"/>
  <c r="H40" i="35"/>
  <c r="J40" i="35" s="1"/>
  <c r="H49" i="35"/>
  <c r="J49" i="35" s="1"/>
  <c r="I51" i="35"/>
  <c r="H55" i="35"/>
  <c r="J55" i="35" s="1"/>
  <c r="H60" i="35"/>
  <c r="J60" i="35" s="1"/>
  <c r="I103" i="35"/>
  <c r="J119" i="35"/>
  <c r="H142" i="35"/>
  <c r="I142" i="35" s="1"/>
  <c r="H148" i="35"/>
  <c r="I148" i="35" s="1"/>
  <c r="H9" i="35"/>
  <c r="I9" i="35" s="1"/>
  <c r="H21" i="35"/>
  <c r="I21" i="35" s="1"/>
  <c r="H13" i="35"/>
  <c r="I13" i="35" s="1"/>
  <c r="H25" i="35"/>
  <c r="I25" i="35" s="1"/>
  <c r="H45" i="35"/>
  <c r="J45" i="35" s="1"/>
  <c r="J59" i="35"/>
  <c r="I59" i="35"/>
  <c r="H19" i="35"/>
  <c r="J19" i="35" s="1"/>
  <c r="I26" i="35"/>
  <c r="K26" i="35" s="1"/>
  <c r="M26" i="35" s="1"/>
  <c r="H11" i="35"/>
  <c r="J11" i="35" s="1"/>
  <c r="H15" i="35"/>
  <c r="J15" i="35" s="1"/>
  <c r="H27" i="35"/>
  <c r="J27" i="35" s="1"/>
  <c r="H7" i="35"/>
  <c r="J7" i="35" s="1"/>
  <c r="H17" i="35"/>
  <c r="J17" i="35" s="1"/>
  <c r="H23" i="35"/>
  <c r="J23" i="35" s="1"/>
  <c r="H50" i="35"/>
  <c r="J50" i="35" s="1"/>
  <c r="H29" i="35"/>
  <c r="I29" i="35" s="1"/>
  <c r="H136" i="35"/>
  <c r="J136" i="35" s="1"/>
  <c r="I136" i="35"/>
  <c r="H99" i="35"/>
  <c r="I99" i="35" s="1"/>
  <c r="H113" i="35"/>
  <c r="J113" i="35" s="1"/>
  <c r="H43" i="35"/>
  <c r="J43" i="35" s="1"/>
  <c r="H77" i="35"/>
  <c r="I77" i="35" s="1"/>
  <c r="H112" i="35"/>
  <c r="I112" i="35" s="1"/>
  <c r="H73" i="35"/>
  <c r="J73" i="35" s="1"/>
  <c r="H8" i="35"/>
  <c r="J8" i="35" s="1"/>
  <c r="H12" i="35"/>
  <c r="J12" i="35" s="1"/>
  <c r="H16" i="35"/>
  <c r="J16" i="35" s="1"/>
  <c r="H20" i="35"/>
  <c r="J20" i="35" s="1"/>
  <c r="H24" i="35"/>
  <c r="J24" i="35" s="1"/>
  <c r="H28" i="35"/>
  <c r="J28" i="35" s="1"/>
  <c r="H35" i="35"/>
  <c r="I35" i="35" s="1"/>
  <c r="I41" i="35"/>
  <c r="H74" i="35"/>
  <c r="J74" i="35" s="1"/>
  <c r="I69" i="35"/>
  <c r="H120" i="35"/>
  <c r="J120" i="35" s="1"/>
  <c r="O154" i="35"/>
  <c r="H38" i="35"/>
  <c r="J38" i="35" s="1"/>
  <c r="H53" i="35"/>
  <c r="I53" i="35" s="1"/>
  <c r="H58" i="35"/>
  <c r="I58" i="35" s="1"/>
  <c r="I82" i="35"/>
  <c r="K82" i="35" s="1"/>
  <c r="M82" i="35" s="1"/>
  <c r="H10" i="35"/>
  <c r="J10" i="35" s="1"/>
  <c r="H14" i="35"/>
  <c r="J14" i="35" s="1"/>
  <c r="H18" i="35"/>
  <c r="J18" i="35" s="1"/>
  <c r="H22" i="35"/>
  <c r="J22" i="35" s="1"/>
  <c r="H26" i="35"/>
  <c r="J26" i="35" s="1"/>
  <c r="I31" i="35"/>
  <c r="H44" i="35"/>
  <c r="J44" i="35" s="1"/>
  <c r="J46" i="35"/>
  <c r="J51" i="35"/>
  <c r="H56" i="35"/>
  <c r="J56" i="35" s="1"/>
  <c r="J61" i="35"/>
  <c r="H68" i="35"/>
  <c r="J68" i="35" s="1"/>
  <c r="I68" i="35"/>
  <c r="K68" i="35" s="1"/>
  <c r="M68" i="35" s="1"/>
  <c r="I70" i="35"/>
  <c r="H80" i="35"/>
  <c r="J80" i="35" s="1"/>
  <c r="H86" i="35"/>
  <c r="J86" i="35" s="1"/>
  <c r="H89" i="35"/>
  <c r="J89" i="35" s="1"/>
  <c r="Q154" i="35"/>
  <c r="H48" i="35"/>
  <c r="J48" i="35" s="1"/>
  <c r="I6" i="35"/>
  <c r="I33" i="35"/>
  <c r="H34" i="35"/>
  <c r="I34" i="35" s="1"/>
  <c r="J41" i="35"/>
  <c r="I46" i="35"/>
  <c r="I61" i="35"/>
  <c r="H90" i="35"/>
  <c r="J90" i="35" s="1"/>
  <c r="I90" i="35"/>
  <c r="H131" i="35"/>
  <c r="I131" i="35" s="1"/>
  <c r="H92" i="35"/>
  <c r="I92" i="35" s="1"/>
  <c r="H108" i="35"/>
  <c r="I108" i="35" s="1"/>
  <c r="H111" i="35"/>
  <c r="J111" i="35" s="1"/>
  <c r="I135" i="35"/>
  <c r="I151" i="35"/>
  <c r="H30" i="35"/>
  <c r="I81" i="35"/>
  <c r="H84" i="35"/>
  <c r="I87" i="35"/>
  <c r="K87" i="35" s="1"/>
  <c r="M87" i="35" s="1"/>
  <c r="H115" i="35"/>
  <c r="J115" i="35" s="1"/>
  <c r="H134" i="35"/>
  <c r="I134" i="35" s="1"/>
  <c r="C154" i="35"/>
  <c r="H42" i="35"/>
  <c r="I42" i="35" s="1"/>
  <c r="H97" i="35"/>
  <c r="J97" i="35" s="1"/>
  <c r="H122" i="35"/>
  <c r="J122" i="35" s="1"/>
  <c r="H129" i="35"/>
  <c r="J129" i="35" s="1"/>
  <c r="H145" i="35"/>
  <c r="I145" i="35" s="1"/>
  <c r="J70" i="35"/>
  <c r="H95" i="35"/>
  <c r="J95" i="35" s="1"/>
  <c r="H124" i="35"/>
  <c r="J124" i="35" s="1"/>
  <c r="H150" i="35"/>
  <c r="I150" i="35" s="1"/>
  <c r="H106" i="35"/>
  <c r="J106" i="35" s="1"/>
  <c r="I118" i="35"/>
  <c r="H127" i="35"/>
  <c r="J127" i="35" s="1"/>
  <c r="H140" i="35"/>
  <c r="I140" i="35" s="1"/>
  <c r="H93" i="35"/>
  <c r="I93" i="35" s="1"/>
  <c r="J135" i="35"/>
  <c r="H141" i="35"/>
  <c r="J141" i="35" s="1"/>
  <c r="J150" i="35"/>
  <c r="J151" i="35"/>
  <c r="H91" i="35"/>
  <c r="J91" i="35" s="1"/>
  <c r="J104" i="35"/>
  <c r="H107" i="35"/>
  <c r="J107" i="35" s="1"/>
  <c r="H123" i="35"/>
  <c r="J123" i="35" s="1"/>
  <c r="J152" i="35"/>
  <c r="K152" i="35" s="1"/>
  <c r="M152" i="35" s="1"/>
  <c r="H153" i="35"/>
  <c r="J153" i="35" s="1"/>
  <c r="J102" i="35"/>
  <c r="K102" i="35" s="1"/>
  <c r="M102" i="35" s="1"/>
  <c r="H105" i="35"/>
  <c r="J105" i="35" s="1"/>
  <c r="J118" i="35"/>
  <c r="H121" i="35"/>
  <c r="J121" i="35" s="1"/>
  <c r="H137" i="35"/>
  <c r="J137" i="35" s="1"/>
  <c r="H143" i="35"/>
  <c r="I143" i="35" s="1"/>
  <c r="J98" i="35"/>
  <c r="K98" i="35" s="1"/>
  <c r="M98" i="35" s="1"/>
  <c r="H101" i="35"/>
  <c r="I101" i="35" s="1"/>
  <c r="J114" i="35"/>
  <c r="H117" i="35"/>
  <c r="I117" i="35" s="1"/>
  <c r="H133" i="35"/>
  <c r="J133" i="35" s="1"/>
  <c r="H139" i="35"/>
  <c r="I139" i="35" s="1"/>
  <c r="H149" i="35"/>
  <c r="J149" i="35" s="1"/>
  <c r="V155" i="34"/>
  <c r="W6" i="34"/>
  <c r="J79" i="35" l="1"/>
  <c r="K79" i="35" s="1"/>
  <c r="M79" i="35" s="1"/>
  <c r="N79" i="35" s="1"/>
  <c r="P79" i="35" s="1"/>
  <c r="R79" i="35" s="1"/>
  <c r="J13" i="35"/>
  <c r="J130" i="35"/>
  <c r="W155" i="34"/>
  <c r="K114" i="35"/>
  <c r="M114" i="35" s="1"/>
  <c r="I63" i="35"/>
  <c r="J143" i="35"/>
  <c r="K143" i="35" s="1"/>
  <c r="M143" i="35" s="1"/>
  <c r="N143" i="35" s="1"/>
  <c r="P143" i="35" s="1"/>
  <c r="R143" i="35" s="1"/>
  <c r="I110" i="35"/>
  <c r="K110" i="35" s="1"/>
  <c r="M110" i="35" s="1"/>
  <c r="N110" i="35" s="1"/>
  <c r="K147" i="35"/>
  <c r="M147" i="35" s="1"/>
  <c r="K81" i="35"/>
  <c r="M81" i="35" s="1"/>
  <c r="I52" i="35"/>
  <c r="K52" i="35" s="1"/>
  <c r="M52" i="35" s="1"/>
  <c r="N52" i="35" s="1"/>
  <c r="P52" i="35" s="1"/>
  <c r="R52" i="35" s="1"/>
  <c r="K54" i="35"/>
  <c r="M54" i="35" s="1"/>
  <c r="N54" i="35" s="1"/>
  <c r="P54" i="35" s="1"/>
  <c r="R54" i="35" s="1"/>
  <c r="I76" i="35"/>
  <c r="J126" i="35"/>
  <c r="K126" i="35" s="1"/>
  <c r="M126" i="35" s="1"/>
  <c r="N126" i="35" s="1"/>
  <c r="P126" i="35" s="1"/>
  <c r="R126" i="35" s="1"/>
  <c r="E154" i="35"/>
  <c r="J32" i="35"/>
  <c r="K32" i="35" s="1"/>
  <c r="M32" i="35" s="1"/>
  <c r="N32" i="35" s="1"/>
  <c r="P32" i="35" s="1"/>
  <c r="R32" i="35" s="1"/>
  <c r="K104" i="35"/>
  <c r="M104" i="35" s="1"/>
  <c r="N104" i="35" s="1"/>
  <c r="I127" i="35"/>
  <c r="K127" i="35" s="1"/>
  <c r="M127" i="35" s="1"/>
  <c r="N127" i="35" s="1"/>
  <c r="P127" i="35" s="1"/>
  <c r="R127" i="35" s="1"/>
  <c r="I115" i="35"/>
  <c r="I111" i="35"/>
  <c r="K111" i="35" s="1"/>
  <c r="M111" i="35" s="1"/>
  <c r="N111" i="35" s="1"/>
  <c r="P111" i="35" s="1"/>
  <c r="R111" i="35" s="1"/>
  <c r="I113" i="35"/>
  <c r="K113" i="35" s="1"/>
  <c r="M113" i="35" s="1"/>
  <c r="I50" i="35"/>
  <c r="K50" i="35" s="1"/>
  <c r="M50" i="35" s="1"/>
  <c r="I109" i="35"/>
  <c r="J92" i="35"/>
  <c r="K92" i="35" s="1"/>
  <c r="M92" i="35" s="1"/>
  <c r="N92" i="35" s="1"/>
  <c r="P92" i="35" s="1"/>
  <c r="R92" i="35" s="1"/>
  <c r="J139" i="35"/>
  <c r="K139" i="35" s="1"/>
  <c r="M139" i="35" s="1"/>
  <c r="I24" i="35"/>
  <c r="K24" i="35" s="1"/>
  <c r="M24" i="35" s="1"/>
  <c r="N24" i="35" s="1"/>
  <c r="P24" i="35" s="1"/>
  <c r="R24" i="35" s="1"/>
  <c r="J85" i="35"/>
  <c r="K85" i="35" s="1"/>
  <c r="M85" i="35" s="1"/>
  <c r="N85" i="35" s="1"/>
  <c r="I71" i="35"/>
  <c r="K71" i="35" s="1"/>
  <c r="M71" i="35" s="1"/>
  <c r="N71" i="35" s="1"/>
  <c r="P71" i="35" s="1"/>
  <c r="R71" i="35" s="1"/>
  <c r="J34" i="35"/>
  <c r="K34" i="35" s="1"/>
  <c r="M34" i="35" s="1"/>
  <c r="J138" i="35"/>
  <c r="K138" i="35" s="1"/>
  <c r="M138" i="35" s="1"/>
  <c r="N138" i="35" s="1"/>
  <c r="P138" i="35" s="1"/>
  <c r="R138" i="35" s="1"/>
  <c r="K70" i="35"/>
  <c r="M70" i="35" s="1"/>
  <c r="N70" i="35" s="1"/>
  <c r="P70" i="35" s="1"/>
  <c r="R70" i="35" s="1"/>
  <c r="K119" i="35"/>
  <c r="M119" i="35" s="1"/>
  <c r="N119" i="35" s="1"/>
  <c r="P119" i="35" s="1"/>
  <c r="R119" i="35" s="1"/>
  <c r="I116" i="35"/>
  <c r="K116" i="35" s="1"/>
  <c r="M116" i="35" s="1"/>
  <c r="N116" i="35" s="1"/>
  <c r="P116" i="35" s="1"/>
  <c r="R116" i="35" s="1"/>
  <c r="H88" i="35"/>
  <c r="J88" i="35" s="1"/>
  <c r="K31" i="35"/>
  <c r="M31" i="35" s="1"/>
  <c r="P83" i="35"/>
  <c r="R83" i="35" s="1"/>
  <c r="K103" i="35"/>
  <c r="M103" i="35" s="1"/>
  <c r="N103" i="35" s="1"/>
  <c r="P103" i="35" s="1"/>
  <c r="R103" i="35" s="1"/>
  <c r="P67" i="35"/>
  <c r="R67" i="35" s="1"/>
  <c r="J131" i="35"/>
  <c r="D154" i="35"/>
  <c r="J96" i="35"/>
  <c r="K96" i="35" s="1"/>
  <c r="M96" i="35" s="1"/>
  <c r="N96" i="35" s="1"/>
  <c r="P96" i="35" s="1"/>
  <c r="R96" i="35" s="1"/>
  <c r="K130" i="35"/>
  <c r="M130" i="35" s="1"/>
  <c r="N130" i="35" s="1"/>
  <c r="P130" i="35" s="1"/>
  <c r="R130" i="35" s="1"/>
  <c r="F154" i="35"/>
  <c r="G88" i="35"/>
  <c r="G154" i="35" s="1"/>
  <c r="I64" i="35"/>
  <c r="K64" i="35" s="1"/>
  <c r="M64" i="35" s="1"/>
  <c r="K13" i="35"/>
  <c r="M13" i="35" s="1"/>
  <c r="K76" i="35"/>
  <c r="M76" i="35" s="1"/>
  <c r="N76" i="35" s="1"/>
  <c r="I121" i="35"/>
  <c r="K121" i="35" s="1"/>
  <c r="M121" i="35" s="1"/>
  <c r="N121" i="35" s="1"/>
  <c r="P121" i="35" s="1"/>
  <c r="R121" i="35" s="1"/>
  <c r="I100" i="35"/>
  <c r="K100" i="35" s="1"/>
  <c r="M100" i="35" s="1"/>
  <c r="N100" i="35" s="1"/>
  <c r="P100" i="35" s="1"/>
  <c r="R100" i="35" s="1"/>
  <c r="J75" i="35"/>
  <c r="K75" i="35" s="1"/>
  <c r="M75" i="35" s="1"/>
  <c r="N75" i="35" s="1"/>
  <c r="K46" i="35"/>
  <c r="M46" i="35" s="1"/>
  <c r="N46" i="35" s="1"/>
  <c r="P46" i="35" s="1"/>
  <c r="R46" i="35" s="1"/>
  <c r="I48" i="35"/>
  <c r="J62" i="35"/>
  <c r="K62" i="35" s="1"/>
  <c r="M62" i="35" s="1"/>
  <c r="J142" i="35"/>
  <c r="K142" i="35" s="1"/>
  <c r="M142" i="35" s="1"/>
  <c r="N142" i="35" s="1"/>
  <c r="P142" i="35" s="1"/>
  <c r="R142" i="35" s="1"/>
  <c r="I120" i="35"/>
  <c r="K120" i="35" s="1"/>
  <c r="M120" i="35" s="1"/>
  <c r="I60" i="35"/>
  <c r="K60" i="35" s="1"/>
  <c r="M60" i="35" s="1"/>
  <c r="N60" i="35" s="1"/>
  <c r="P60" i="35" s="1"/>
  <c r="R60" i="35" s="1"/>
  <c r="J146" i="35"/>
  <c r="K146" i="35" s="1"/>
  <c r="M146" i="35" s="1"/>
  <c r="I72" i="35"/>
  <c r="K72" i="35" s="1"/>
  <c r="M72" i="35" s="1"/>
  <c r="N72" i="35" s="1"/>
  <c r="P72" i="35" s="1"/>
  <c r="R72" i="35" s="1"/>
  <c r="J36" i="35"/>
  <c r="K36" i="35" s="1"/>
  <c r="M36" i="35" s="1"/>
  <c r="N36" i="35" s="1"/>
  <c r="J94" i="35"/>
  <c r="K94" i="35" s="1"/>
  <c r="M94" i="35" s="1"/>
  <c r="J112" i="35"/>
  <c r="K112" i="35" s="1"/>
  <c r="M112" i="35" s="1"/>
  <c r="N112" i="35" s="1"/>
  <c r="P112" i="35" s="1"/>
  <c r="R112" i="35" s="1"/>
  <c r="J108" i="35"/>
  <c r="K108" i="35" s="1"/>
  <c r="M108" i="35" s="1"/>
  <c r="K135" i="35"/>
  <c r="M135" i="35" s="1"/>
  <c r="N135" i="35" s="1"/>
  <c r="P135" i="35" s="1"/>
  <c r="R135" i="35" s="1"/>
  <c r="K33" i="35"/>
  <c r="M33" i="35" s="1"/>
  <c r="N33" i="35" s="1"/>
  <c r="I80" i="35"/>
  <c r="K80" i="35" s="1"/>
  <c r="M80" i="35" s="1"/>
  <c r="N80" i="35" s="1"/>
  <c r="P80" i="35" s="1"/>
  <c r="R80" i="35" s="1"/>
  <c r="K51" i="35"/>
  <c r="M51" i="35" s="1"/>
  <c r="N51" i="35" s="1"/>
  <c r="P51" i="35" s="1"/>
  <c r="R51" i="35" s="1"/>
  <c r="N144" i="35"/>
  <c r="P144" i="35" s="1"/>
  <c r="R144" i="35" s="1"/>
  <c r="N37" i="35"/>
  <c r="P37" i="35" s="1"/>
  <c r="R37" i="35" s="1"/>
  <c r="N39" i="35"/>
  <c r="P39" i="35" s="1"/>
  <c r="R39" i="35" s="1"/>
  <c r="J66" i="35"/>
  <c r="K66" i="35" s="1"/>
  <c r="M66" i="35" s="1"/>
  <c r="K131" i="35"/>
  <c r="M131" i="35" s="1"/>
  <c r="N131" i="35" s="1"/>
  <c r="P131" i="35" s="1"/>
  <c r="R131" i="35" s="1"/>
  <c r="I73" i="35"/>
  <c r="K73" i="35" s="1"/>
  <c r="M73" i="35" s="1"/>
  <c r="I153" i="35"/>
  <c r="K153" i="35" s="1"/>
  <c r="M153" i="35" s="1"/>
  <c r="N153" i="35" s="1"/>
  <c r="P153" i="35" s="1"/>
  <c r="R153" i="35" s="1"/>
  <c r="J9" i="35"/>
  <c r="K9" i="35" s="1"/>
  <c r="M9" i="35" s="1"/>
  <c r="J148" i="35"/>
  <c r="K148" i="35" s="1"/>
  <c r="M148" i="35" s="1"/>
  <c r="I49" i="35"/>
  <c r="K49" i="35" s="1"/>
  <c r="M49" i="35" s="1"/>
  <c r="I133" i="35"/>
  <c r="K133" i="35" s="1"/>
  <c r="M133" i="35" s="1"/>
  <c r="N133" i="35" s="1"/>
  <c r="P133" i="35" s="1"/>
  <c r="R133" i="35" s="1"/>
  <c r="J93" i="35"/>
  <c r="K93" i="35" s="1"/>
  <c r="M93" i="35" s="1"/>
  <c r="J29" i="35"/>
  <c r="K29" i="35" s="1"/>
  <c r="M29" i="35" s="1"/>
  <c r="N29" i="35" s="1"/>
  <c r="J65" i="35"/>
  <c r="K65" i="35" s="1"/>
  <c r="M65" i="35" s="1"/>
  <c r="N65" i="35" s="1"/>
  <c r="P65" i="35" s="1"/>
  <c r="R65" i="35" s="1"/>
  <c r="I137" i="35"/>
  <c r="K137" i="35" s="1"/>
  <c r="M137" i="35" s="1"/>
  <c r="N137" i="35" s="1"/>
  <c r="P137" i="35" s="1"/>
  <c r="R137" i="35" s="1"/>
  <c r="J77" i="35"/>
  <c r="K77" i="35" s="1"/>
  <c r="M77" i="35" s="1"/>
  <c r="I78" i="35"/>
  <c r="K78" i="35" s="1"/>
  <c r="M78" i="35" s="1"/>
  <c r="N78" i="35" s="1"/>
  <c r="P78" i="35" s="1"/>
  <c r="R78" i="35" s="1"/>
  <c r="J35" i="35"/>
  <c r="K35" i="35" s="1"/>
  <c r="M35" i="35" s="1"/>
  <c r="N35" i="35" s="1"/>
  <c r="P35" i="35" s="1"/>
  <c r="R35" i="35" s="1"/>
  <c r="I55" i="35"/>
  <c r="K55" i="35" s="1"/>
  <c r="M55" i="35" s="1"/>
  <c r="N55" i="35" s="1"/>
  <c r="P55" i="35" s="1"/>
  <c r="R55" i="35" s="1"/>
  <c r="K69" i="35"/>
  <c r="M69" i="35" s="1"/>
  <c r="N69" i="35" s="1"/>
  <c r="P69" i="35" s="1"/>
  <c r="R69" i="35" s="1"/>
  <c r="I27" i="35"/>
  <c r="K27" i="35" s="1"/>
  <c r="M27" i="35" s="1"/>
  <c r="I23" i="35"/>
  <c r="K23" i="35" s="1"/>
  <c r="M23" i="35" s="1"/>
  <c r="N23" i="35" s="1"/>
  <c r="P23" i="35" s="1"/>
  <c r="R23" i="35" s="1"/>
  <c r="I45" i="35"/>
  <c r="K45" i="35" s="1"/>
  <c r="M45" i="35" s="1"/>
  <c r="N45" i="35" s="1"/>
  <c r="P45" i="35" s="1"/>
  <c r="R45" i="35" s="1"/>
  <c r="I15" i="35"/>
  <c r="K15" i="35" s="1"/>
  <c r="M15" i="35" s="1"/>
  <c r="N15" i="35" s="1"/>
  <c r="P15" i="35" s="1"/>
  <c r="R15" i="35" s="1"/>
  <c r="J99" i="35"/>
  <c r="K99" i="35" s="1"/>
  <c r="M99" i="35" s="1"/>
  <c r="I43" i="35"/>
  <c r="K43" i="35" s="1"/>
  <c r="M43" i="35" s="1"/>
  <c r="I132" i="35"/>
  <c r="K132" i="35" s="1"/>
  <c r="M132" i="35" s="1"/>
  <c r="J101" i="35"/>
  <c r="K101" i="35" s="1"/>
  <c r="M101" i="35" s="1"/>
  <c r="I8" i="35"/>
  <c r="K8" i="35" s="1"/>
  <c r="M8" i="35" s="1"/>
  <c r="N8" i="35" s="1"/>
  <c r="P8" i="35" s="1"/>
  <c r="R8" i="35" s="1"/>
  <c r="J25" i="35"/>
  <c r="K25" i="35" s="1"/>
  <c r="M25" i="35" s="1"/>
  <c r="N25" i="35" s="1"/>
  <c r="J21" i="35"/>
  <c r="K21" i="35" s="1"/>
  <c r="M21" i="35" s="1"/>
  <c r="N21" i="35" s="1"/>
  <c r="J134" i="35"/>
  <c r="K134" i="35" s="1"/>
  <c r="M134" i="35" s="1"/>
  <c r="N134" i="35" s="1"/>
  <c r="P134" i="35" s="1"/>
  <c r="R134" i="35" s="1"/>
  <c r="I40" i="35"/>
  <c r="K40" i="35" s="1"/>
  <c r="M40" i="35" s="1"/>
  <c r="N40" i="35" s="1"/>
  <c r="P40" i="35" s="1"/>
  <c r="R40" i="35" s="1"/>
  <c r="K59" i="35"/>
  <c r="M59" i="35" s="1"/>
  <c r="N59" i="35" s="1"/>
  <c r="K125" i="35"/>
  <c r="M125" i="35" s="1"/>
  <c r="N125" i="35" s="1"/>
  <c r="P125" i="35" s="1"/>
  <c r="R125" i="35" s="1"/>
  <c r="K109" i="35"/>
  <c r="M109" i="35" s="1"/>
  <c r="N98" i="35"/>
  <c r="P98" i="35" s="1"/>
  <c r="R98" i="35" s="1"/>
  <c r="N152" i="35"/>
  <c r="P152" i="35" s="1"/>
  <c r="R152" i="35" s="1"/>
  <c r="I105" i="35"/>
  <c r="K105" i="35" s="1"/>
  <c r="M105" i="35" s="1"/>
  <c r="K136" i="35"/>
  <c r="M136" i="35" s="1"/>
  <c r="I17" i="35"/>
  <c r="K17" i="35" s="1"/>
  <c r="M17" i="35" s="1"/>
  <c r="I149" i="35"/>
  <c r="K149" i="35" s="1"/>
  <c r="M149" i="35" s="1"/>
  <c r="N87" i="35"/>
  <c r="P87" i="35" s="1"/>
  <c r="R87" i="35" s="1"/>
  <c r="K90" i="35"/>
  <c r="M90" i="35" s="1"/>
  <c r="N68" i="35"/>
  <c r="P68" i="35" s="1"/>
  <c r="R68" i="35" s="1"/>
  <c r="I20" i="35"/>
  <c r="K20" i="35" s="1"/>
  <c r="M20" i="35" s="1"/>
  <c r="I11" i="35"/>
  <c r="K11" i="35" s="1"/>
  <c r="M11" i="35" s="1"/>
  <c r="I106" i="35"/>
  <c r="K106" i="35" s="1"/>
  <c r="M106" i="35" s="1"/>
  <c r="K115" i="35"/>
  <c r="M115" i="35" s="1"/>
  <c r="J117" i="35"/>
  <c r="K117" i="35" s="1"/>
  <c r="M117" i="35" s="1"/>
  <c r="K41" i="35"/>
  <c r="M41" i="35" s="1"/>
  <c r="J145" i="35"/>
  <c r="K145" i="35" s="1"/>
  <c r="M145" i="35" s="1"/>
  <c r="I123" i="35"/>
  <c r="K123" i="35" s="1"/>
  <c r="M123" i="35" s="1"/>
  <c r="I10" i="35"/>
  <c r="K10" i="35" s="1"/>
  <c r="M10" i="35" s="1"/>
  <c r="I44" i="35"/>
  <c r="K44" i="35" s="1"/>
  <c r="M44" i="35" s="1"/>
  <c r="I97" i="35"/>
  <c r="K97" i="35" s="1"/>
  <c r="M97" i="35" s="1"/>
  <c r="N81" i="35"/>
  <c r="P81" i="35" s="1"/>
  <c r="R81" i="35" s="1"/>
  <c r="I86" i="35"/>
  <c r="K86" i="35" s="1"/>
  <c r="M86" i="35" s="1"/>
  <c r="N64" i="35"/>
  <c r="P64" i="35" s="1"/>
  <c r="R64" i="35" s="1"/>
  <c r="I38" i="35"/>
  <c r="K38" i="35" s="1"/>
  <c r="M38" i="35" s="1"/>
  <c r="I16" i="35"/>
  <c r="K16" i="35" s="1"/>
  <c r="M16" i="35" s="1"/>
  <c r="I14" i="35"/>
  <c r="K14" i="35" s="1"/>
  <c r="M14" i="35" s="1"/>
  <c r="J53" i="35"/>
  <c r="K53" i="35" s="1"/>
  <c r="M53" i="35" s="1"/>
  <c r="J42" i="35"/>
  <c r="K42" i="35" s="1"/>
  <c r="M42" i="35" s="1"/>
  <c r="I22" i="35"/>
  <c r="K22" i="35" s="1"/>
  <c r="M22" i="35" s="1"/>
  <c r="N26" i="35"/>
  <c r="P26" i="35" s="1"/>
  <c r="R26" i="35" s="1"/>
  <c r="N57" i="35"/>
  <c r="P57" i="35"/>
  <c r="R57" i="35" s="1"/>
  <c r="N13" i="35"/>
  <c r="P13" i="35" s="1"/>
  <c r="R13" i="35" s="1"/>
  <c r="I18" i="35"/>
  <c r="K18" i="35" s="1"/>
  <c r="M18" i="35" s="1"/>
  <c r="I91" i="35"/>
  <c r="K91" i="35" s="1"/>
  <c r="M91" i="35" s="1"/>
  <c r="N113" i="35"/>
  <c r="P113" i="35" s="1"/>
  <c r="R113" i="35" s="1"/>
  <c r="I122" i="35"/>
  <c r="K122" i="35" s="1"/>
  <c r="M122" i="35" s="1"/>
  <c r="I19" i="35"/>
  <c r="K19" i="35" s="1"/>
  <c r="M19" i="35" s="1"/>
  <c r="N102" i="35"/>
  <c r="P102" i="35" s="1"/>
  <c r="R102" i="35" s="1"/>
  <c r="I124" i="35"/>
  <c r="K124" i="35" s="1"/>
  <c r="M124" i="35" s="1"/>
  <c r="J84" i="35"/>
  <c r="I84" i="35"/>
  <c r="J30" i="35"/>
  <c r="I30" i="35"/>
  <c r="N31" i="35"/>
  <c r="P31" i="35" s="1"/>
  <c r="R31" i="35" s="1"/>
  <c r="I141" i="35"/>
  <c r="K141" i="35" s="1"/>
  <c r="M141" i="35" s="1"/>
  <c r="I107" i="35"/>
  <c r="K107" i="35" s="1"/>
  <c r="M107" i="35" s="1"/>
  <c r="I89" i="35"/>
  <c r="K89" i="35" s="1"/>
  <c r="M89" i="35" s="1"/>
  <c r="J58" i="35"/>
  <c r="K58" i="35" s="1"/>
  <c r="M58" i="35" s="1"/>
  <c r="N82" i="35"/>
  <c r="P82" i="35" s="1"/>
  <c r="R82" i="35" s="1"/>
  <c r="I28" i="35"/>
  <c r="K28" i="35" s="1"/>
  <c r="M28" i="35" s="1"/>
  <c r="I12" i="35"/>
  <c r="K12" i="35" s="1"/>
  <c r="M12" i="35" s="1"/>
  <c r="I7" i="35"/>
  <c r="K7" i="35" s="1"/>
  <c r="M7" i="35" s="1"/>
  <c r="N47" i="35"/>
  <c r="P47" i="35" s="1"/>
  <c r="R47" i="35" s="1"/>
  <c r="I74" i="35"/>
  <c r="K74" i="35" s="1"/>
  <c r="M74" i="35" s="1"/>
  <c r="K118" i="35"/>
  <c r="M118" i="35" s="1"/>
  <c r="J140" i="35"/>
  <c r="K140" i="35" s="1"/>
  <c r="M140" i="35" s="1"/>
  <c r="K48" i="35"/>
  <c r="M48" i="35" s="1"/>
  <c r="N50" i="35"/>
  <c r="P50" i="35" s="1"/>
  <c r="R50" i="35" s="1"/>
  <c r="N114" i="35"/>
  <c r="P114" i="35" s="1"/>
  <c r="R114" i="35" s="1"/>
  <c r="K150" i="35"/>
  <c r="M150" i="35" s="1"/>
  <c r="I95" i="35"/>
  <c r="K95" i="35" s="1"/>
  <c r="M95" i="35" s="1"/>
  <c r="I129" i="35"/>
  <c r="K129" i="35" s="1"/>
  <c r="M129" i="35" s="1"/>
  <c r="K63" i="35"/>
  <c r="M63" i="35" s="1"/>
  <c r="K151" i="35"/>
  <c r="M151" i="35" s="1"/>
  <c r="K61" i="35"/>
  <c r="M61" i="35" s="1"/>
  <c r="K6" i="35"/>
  <c r="I56" i="35"/>
  <c r="K56" i="35" s="1"/>
  <c r="M56" i="35" s="1"/>
  <c r="P110" i="35" l="1"/>
  <c r="R110" i="35" s="1"/>
  <c r="I88" i="35"/>
  <c r="K88" i="35" s="1"/>
  <c r="M88" i="35" s="1"/>
  <c r="N88" i="35" s="1"/>
  <c r="P104" i="35"/>
  <c r="R104" i="35" s="1"/>
  <c r="N147" i="35"/>
  <c r="P147" i="35"/>
  <c r="R147" i="35" s="1"/>
  <c r="P36" i="35"/>
  <c r="R36" i="35" s="1"/>
  <c r="P76" i="35"/>
  <c r="R76" i="35" s="1"/>
  <c r="P25" i="35"/>
  <c r="R25" i="35" s="1"/>
  <c r="N94" i="35"/>
  <c r="P94" i="35" s="1"/>
  <c r="R94" i="35" s="1"/>
  <c r="N108" i="35"/>
  <c r="P108" i="35"/>
  <c r="R108" i="35" s="1"/>
  <c r="P33" i="35"/>
  <c r="R33" i="35" s="1"/>
  <c r="P85" i="35"/>
  <c r="R85" i="35" s="1"/>
  <c r="P29" i="35"/>
  <c r="R29" i="35" s="1"/>
  <c r="N148" i="35"/>
  <c r="P148" i="35" s="1"/>
  <c r="R148" i="35" s="1"/>
  <c r="P59" i="35"/>
  <c r="R59" i="35" s="1"/>
  <c r="P21" i="35"/>
  <c r="R21" i="35" s="1"/>
  <c r="N146" i="35"/>
  <c r="P146" i="35" s="1"/>
  <c r="R146" i="35" s="1"/>
  <c r="N9" i="35"/>
  <c r="P9" i="35" s="1"/>
  <c r="R9" i="35" s="1"/>
  <c r="N27" i="35"/>
  <c r="P27" i="35" s="1"/>
  <c r="R27" i="35" s="1"/>
  <c r="P75" i="35"/>
  <c r="R75" i="35" s="1"/>
  <c r="N62" i="35"/>
  <c r="P62" i="35" s="1"/>
  <c r="R62" i="35" s="1"/>
  <c r="N109" i="35"/>
  <c r="P109" i="35" s="1"/>
  <c r="R109" i="35" s="1"/>
  <c r="N132" i="35"/>
  <c r="P132" i="35" s="1"/>
  <c r="R132" i="35" s="1"/>
  <c r="N49" i="35"/>
  <c r="P49" i="35" s="1"/>
  <c r="R49" i="35" s="1"/>
  <c r="K84" i="35"/>
  <c r="M84" i="35" s="1"/>
  <c r="N84" i="35" s="1"/>
  <c r="P84" i="35" s="1"/>
  <c r="R84" i="35" s="1"/>
  <c r="N58" i="35"/>
  <c r="P58" i="35" s="1"/>
  <c r="R58" i="35" s="1"/>
  <c r="N145" i="35"/>
  <c r="P145" i="35" s="1"/>
  <c r="R145" i="35" s="1"/>
  <c r="N61" i="35"/>
  <c r="P61" i="35" s="1"/>
  <c r="R61" i="35" s="1"/>
  <c r="N107" i="35"/>
  <c r="P107" i="35" s="1"/>
  <c r="R107" i="35" s="1"/>
  <c r="N19" i="35"/>
  <c r="P19" i="35" s="1"/>
  <c r="R19" i="35" s="1"/>
  <c r="N73" i="35"/>
  <c r="P73" i="35" s="1"/>
  <c r="R73" i="35" s="1"/>
  <c r="N118" i="35"/>
  <c r="P118" i="35"/>
  <c r="R118" i="35" s="1"/>
  <c r="N115" i="35"/>
  <c r="P115" i="35" s="1"/>
  <c r="R115" i="35" s="1"/>
  <c r="N12" i="35"/>
  <c r="P12" i="35" s="1"/>
  <c r="R12" i="35" s="1"/>
  <c r="N38" i="35"/>
  <c r="P38" i="35" s="1"/>
  <c r="R38" i="35" s="1"/>
  <c r="N106" i="35"/>
  <c r="P106" i="35" s="1"/>
  <c r="R106" i="35" s="1"/>
  <c r="N129" i="35"/>
  <c r="P129" i="35" s="1"/>
  <c r="R129" i="35" s="1"/>
  <c r="N28" i="35"/>
  <c r="P28" i="35" s="1"/>
  <c r="R28" i="35" s="1"/>
  <c r="N42" i="35"/>
  <c r="P42" i="35" s="1"/>
  <c r="R42" i="35" s="1"/>
  <c r="N95" i="35"/>
  <c r="P95" i="35" s="1"/>
  <c r="R95" i="35" s="1"/>
  <c r="N91" i="35"/>
  <c r="P91" i="35" s="1"/>
  <c r="R91" i="35" s="1"/>
  <c r="N149" i="35"/>
  <c r="P149" i="35" s="1"/>
  <c r="R149" i="35" s="1"/>
  <c r="N117" i="35"/>
  <c r="P117" i="35" s="1"/>
  <c r="R117" i="35" s="1"/>
  <c r="N123" i="35"/>
  <c r="P123" i="35" s="1"/>
  <c r="R123" i="35" s="1"/>
  <c r="N140" i="35"/>
  <c r="P140" i="35" s="1"/>
  <c r="R140" i="35" s="1"/>
  <c r="N122" i="35"/>
  <c r="P122" i="35" s="1"/>
  <c r="R122" i="35" s="1"/>
  <c r="N99" i="35"/>
  <c r="P99" i="35" s="1"/>
  <c r="R99" i="35" s="1"/>
  <c r="N63" i="35"/>
  <c r="P63" i="35" s="1"/>
  <c r="R63" i="35" s="1"/>
  <c r="N101" i="35"/>
  <c r="P101" i="35" s="1"/>
  <c r="R101" i="35" s="1"/>
  <c r="N48" i="35"/>
  <c r="P48" i="35" s="1"/>
  <c r="R48" i="35" s="1"/>
  <c r="N34" i="35"/>
  <c r="P34" i="35" s="1"/>
  <c r="R34" i="35" s="1"/>
  <c r="N150" i="35"/>
  <c r="P150" i="35" s="1"/>
  <c r="R150" i="35" s="1"/>
  <c r="N66" i="35"/>
  <c r="P66" i="35" s="1"/>
  <c r="R66" i="35" s="1"/>
  <c r="N93" i="35"/>
  <c r="P93" i="35" s="1"/>
  <c r="R93" i="35" s="1"/>
  <c r="N120" i="35"/>
  <c r="P120" i="35"/>
  <c r="R120" i="35" s="1"/>
  <c r="N7" i="35"/>
  <c r="P7" i="35" s="1"/>
  <c r="R7" i="35" s="1"/>
  <c r="K30" i="35"/>
  <c r="M30" i="35" s="1"/>
  <c r="N124" i="35"/>
  <c r="P124" i="35" s="1"/>
  <c r="N22" i="35"/>
  <c r="P22" i="35"/>
  <c r="R22" i="35" s="1"/>
  <c r="N86" i="35"/>
  <c r="P86" i="35" s="1"/>
  <c r="R86" i="35" s="1"/>
  <c r="N11" i="35"/>
  <c r="P11" i="35" s="1"/>
  <c r="R11" i="35" s="1"/>
  <c r="N17" i="35"/>
  <c r="P17" i="35" s="1"/>
  <c r="R17" i="35" s="1"/>
  <c r="N53" i="35"/>
  <c r="P53" i="35" s="1"/>
  <c r="R53" i="35" s="1"/>
  <c r="N14" i="35"/>
  <c r="P14" i="35" s="1"/>
  <c r="R14" i="35" s="1"/>
  <c r="N151" i="35"/>
  <c r="P151" i="35" s="1"/>
  <c r="R151" i="35" s="1"/>
  <c r="N141" i="35"/>
  <c r="P141" i="35" s="1"/>
  <c r="R141" i="35" s="1"/>
  <c r="N16" i="35"/>
  <c r="P16" i="35" s="1"/>
  <c r="R16" i="35" s="1"/>
  <c r="N90" i="35"/>
  <c r="P90" i="35" s="1"/>
  <c r="R90" i="35" s="1"/>
  <c r="N74" i="35"/>
  <c r="P74" i="35" s="1"/>
  <c r="R74" i="35" s="1"/>
  <c r="N97" i="35"/>
  <c r="P97" i="35" s="1"/>
  <c r="R97" i="35" s="1"/>
  <c r="N139" i="35"/>
  <c r="P139" i="35" s="1"/>
  <c r="R139" i="35" s="1"/>
  <c r="N41" i="35"/>
  <c r="P41" i="35" s="1"/>
  <c r="R41" i="35" s="1"/>
  <c r="N56" i="35"/>
  <c r="P56" i="35" s="1"/>
  <c r="R56" i="35" s="1"/>
  <c r="M6" i="35"/>
  <c r="N77" i="35"/>
  <c r="P77" i="35" s="1"/>
  <c r="R77" i="35" s="1"/>
  <c r="N43" i="35"/>
  <c r="P43" i="35" s="1"/>
  <c r="R43" i="35" s="1"/>
  <c r="N44" i="35"/>
  <c r="P44" i="35" s="1"/>
  <c r="R44" i="35" s="1"/>
  <c r="N20" i="35"/>
  <c r="P20" i="35" s="1"/>
  <c r="R20" i="35" s="1"/>
  <c r="N136" i="35"/>
  <c r="P136" i="35" s="1"/>
  <c r="R136" i="35" s="1"/>
  <c r="I154" i="35"/>
  <c r="N89" i="35"/>
  <c r="P89" i="35" s="1"/>
  <c r="R89" i="35" s="1"/>
  <c r="N18" i="35"/>
  <c r="P18" i="35" s="1"/>
  <c r="R18" i="35" s="1"/>
  <c r="N10" i="35"/>
  <c r="P10" i="35" s="1"/>
  <c r="R10" i="35" s="1"/>
  <c r="N105" i="35"/>
  <c r="P105" i="35" s="1"/>
  <c r="R105" i="35" s="1"/>
  <c r="P88" i="35" l="1"/>
  <c r="R88" i="35" s="1"/>
  <c r="K154" i="35"/>
  <c r="N6" i="35"/>
  <c r="P6" i="35" s="1"/>
  <c r="N30" i="35"/>
  <c r="P30" i="35" s="1"/>
  <c r="R30" i="35" s="1"/>
  <c r="P154" i="35" l="1"/>
  <c r="R6" i="35"/>
  <c r="R154" i="35" s="1"/>
  <c r="R158" i="35" s="1"/>
  <c r="B10" i="1" l="1"/>
  <c r="D5" i="22" s="1"/>
  <c r="B12" i="1" l="1"/>
  <c r="B13" i="1" s="1"/>
  <c r="D20" i="22" l="1"/>
  <c r="D13" i="22"/>
  <c r="A2" i="22" l="1"/>
  <c r="C15" i="22" l="1"/>
  <c r="D15" i="22" l="1"/>
  <c r="E15" i="22" s="1"/>
  <c r="C4" i="1" l="1"/>
  <c r="B49" i="1" l="1"/>
  <c r="D37" i="1"/>
  <c r="B46" i="1"/>
  <c r="C37" i="1"/>
  <c r="C39" i="1" s="1"/>
  <c r="B37" i="1"/>
  <c r="D39" i="1"/>
  <c r="D41" i="1" s="1"/>
  <c r="D8" i="22"/>
  <c r="C2" i="22"/>
  <c r="C28" i="22" l="1"/>
  <c r="C9" i="22"/>
  <c r="C27" i="22"/>
  <c r="C8" i="22"/>
  <c r="E8" i="22" s="1"/>
  <c r="C6" i="22"/>
  <c r="C5" i="22"/>
  <c r="C41" i="1"/>
  <c r="B39" i="1"/>
  <c r="B41" i="1" s="1"/>
  <c r="E37" i="1"/>
  <c r="E5" i="22" l="1"/>
  <c r="C7" i="22"/>
  <c r="C10" i="22" s="1"/>
  <c r="E41" i="1"/>
  <c r="B47" i="1" s="1"/>
  <c r="E39" i="1"/>
  <c r="D28" i="22"/>
  <c r="E28" i="22" s="1"/>
  <c r="C17" i="22" l="1"/>
  <c r="C21" i="22" l="1"/>
  <c r="C23" i="22" s="1"/>
  <c r="C30" i="22" s="1"/>
  <c r="E75" i="10" l="1"/>
  <c r="D132" i="10"/>
  <c r="E137" i="10"/>
  <c r="D27" i="22" l="1"/>
  <c r="B26" i="1"/>
  <c r="E27" i="22" l="1"/>
  <c r="B48" i="1"/>
  <c r="B18" i="1"/>
  <c r="D6" i="22" l="1"/>
  <c r="D7" i="22" s="1"/>
  <c r="E7" i="22" l="1"/>
  <c r="B19" i="1"/>
  <c r="D9" i="22" s="1"/>
  <c r="D10" i="22" l="1"/>
  <c r="B21" i="1"/>
  <c r="D17" i="22" l="1"/>
  <c r="E10" i="22"/>
  <c r="B27" i="1"/>
  <c r="D21" i="22" l="1"/>
  <c r="D23" i="22" s="1"/>
  <c r="D30" i="22" s="1"/>
  <c r="E17" i="22"/>
  <c r="B31" i="1"/>
  <c r="B33" i="1" s="1"/>
  <c r="E21" i="22" l="1"/>
  <c r="B44" i="1"/>
  <c r="B50" i="1" s="1"/>
  <c r="E23" i="22" l="1"/>
  <c r="E30" i="2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Woodmansey, Susan</author>
  </authors>
  <commentList>
    <comment ref="H6" authorId="0" shapeId="0" xr:uid="{AF452879-706B-439A-AE3E-4676C740BDA7}">
      <text>
        <r>
          <rPr>
            <sz val="9"/>
            <color indexed="81"/>
            <rFont val="Tahoma"/>
            <family val="2"/>
          </rPr>
          <t>Remove Fall SAFE count of APA and Dakota Reach students before calculating the ratio.
SDCL 13-13-10.1 (2)</t>
        </r>
      </text>
    </comment>
    <comment ref="H77" authorId="0" shapeId="0" xr:uid="{5B327DB7-A6AB-44CD-95B2-2842DA2E758A}">
      <text>
        <r>
          <rPr>
            <sz val="9"/>
            <color indexed="81"/>
            <rFont val="Tahoma"/>
            <family val="2"/>
          </rPr>
          <t>Remove Fall SAFE count of Our Home students before calculating the ratio.
SDCL 13-13-10.1 (2)</t>
        </r>
      </text>
    </comment>
    <comment ref="R156" authorId="0" shapeId="0" xr:uid="{10EF857E-FD99-4417-85ED-0F8B770CE0D7}">
      <text>
        <r>
          <rPr>
            <sz val="9"/>
            <color indexed="81"/>
            <rFont val="Tahoma"/>
            <family val="2"/>
          </rPr>
          <t>As per SDCL 13-13-82 student count * PSE</t>
        </r>
      </text>
    </comment>
  </commentList>
</comments>
</file>

<file path=xl/sharedStrings.xml><?xml version="1.0" encoding="utf-8"?>
<sst xmlns="http://schemas.openxmlformats.org/spreadsheetml/2006/main" count="960" uniqueCount="494">
  <si>
    <t>State Aid Share for Non-Teacher Expenses</t>
  </si>
  <si>
    <t>LEP Adjustment</t>
  </si>
  <si>
    <t>Weighted LEP Student Count</t>
  </si>
  <si>
    <t>Overhead Costs</t>
  </si>
  <si>
    <t>Formula Number of Certified Instructional Staff FTE:</t>
  </si>
  <si>
    <t>Formula Number of Certified Instructional Staff FTE</t>
  </si>
  <si>
    <t>Formula Certified Instructional Staff Salary/Benefit Need:</t>
  </si>
  <si>
    <t>Target Certified Instructional Staff Salaries + Benefits</t>
  </si>
  <si>
    <t>Need based on Certified Instructional Staff Salaries/Benefits</t>
  </si>
  <si>
    <t>MINUS</t>
  </si>
  <si>
    <t xml:space="preserve">Target Certified Instructional Staff Salary </t>
  </si>
  <si>
    <t>Utility TIF</t>
  </si>
  <si>
    <t>ABERDEEN</t>
  </si>
  <si>
    <t>AGAR - BLUNT - ONIDA</t>
  </si>
  <si>
    <t>ANDES CENTRAL</t>
  </si>
  <si>
    <t>ARLINGTON</t>
  </si>
  <si>
    <t>ARMOUR</t>
  </si>
  <si>
    <t>AVON</t>
  </si>
  <si>
    <t>BALTIC</t>
  </si>
  <si>
    <t>BELLE FOURCHE</t>
  </si>
  <si>
    <t>BENNETT COUNTY</t>
  </si>
  <si>
    <t>BERESFORD</t>
  </si>
  <si>
    <t>BIG STONE CITY</t>
  </si>
  <si>
    <t>BISON</t>
  </si>
  <si>
    <t>BON HOMME</t>
  </si>
  <si>
    <t>BOWDLE</t>
  </si>
  <si>
    <t>BRANDON VALLEY</t>
  </si>
  <si>
    <t>BRIDGEWATER - EMERY</t>
  </si>
  <si>
    <t>BRITTON - HECLA</t>
  </si>
  <si>
    <t>BROOKINGS</t>
  </si>
  <si>
    <t>BURKE</t>
  </si>
  <si>
    <t>CANISTOTA</t>
  </si>
  <si>
    <t>CANTON</t>
  </si>
  <si>
    <t>CASTLEWOOD</t>
  </si>
  <si>
    <t>CENTERVILLE</t>
  </si>
  <si>
    <t>CHAMBERLAIN</t>
  </si>
  <si>
    <t>CHESTER AREA</t>
  </si>
  <si>
    <t>CLARK</t>
  </si>
  <si>
    <t>COLOME CONSOLIDATED</t>
  </si>
  <si>
    <t>CUSTER</t>
  </si>
  <si>
    <t>DAKOTA VALLEY</t>
  </si>
  <si>
    <t>DE SMET</t>
  </si>
  <si>
    <t>DELL RAPIDS</t>
  </si>
  <si>
    <t>DEUBROOK AREA</t>
  </si>
  <si>
    <t>DEUEL</t>
  </si>
  <si>
    <t>DOLAND</t>
  </si>
  <si>
    <t>DOUGLAS</t>
  </si>
  <si>
    <t>DUPREE</t>
  </si>
  <si>
    <t>EAGLE BUTTE</t>
  </si>
  <si>
    <t>EDGEMONT</t>
  </si>
  <si>
    <t>EDMUNDS CENTRAL</t>
  </si>
  <si>
    <t>ELK MOUNTAIN</t>
  </si>
  <si>
    <t>ELK POINT-JEFFERSON</t>
  </si>
  <si>
    <t>ELKTON</t>
  </si>
  <si>
    <t>ESTELLINE</t>
  </si>
  <si>
    <t>ETHAN</t>
  </si>
  <si>
    <t>EUREKA</t>
  </si>
  <si>
    <t>FAITH</t>
  </si>
  <si>
    <t>FLANDREAU</t>
  </si>
  <si>
    <t>FLORENCE</t>
  </si>
  <si>
    <t>FREDERICK AREA</t>
  </si>
  <si>
    <t>FREEMAN</t>
  </si>
  <si>
    <t>GARRETSON</t>
  </si>
  <si>
    <t>GAYVILLE-VOLIN</t>
  </si>
  <si>
    <t>GETTYSBURG</t>
  </si>
  <si>
    <t>GREGORY</t>
  </si>
  <si>
    <t>GROTON AREA</t>
  </si>
  <si>
    <t>HAAKON</t>
  </si>
  <si>
    <t>HAMLIN</t>
  </si>
  <si>
    <t>HANSON</t>
  </si>
  <si>
    <t>HARDING COUNTY</t>
  </si>
  <si>
    <t>HARRISBURG</t>
  </si>
  <si>
    <t>HENRY</t>
  </si>
  <si>
    <t>HERREID</t>
  </si>
  <si>
    <t>HIGHMORE - HARROLD</t>
  </si>
  <si>
    <t>HILL CITY</t>
  </si>
  <si>
    <t>HITCHCOCK - TULARE</t>
  </si>
  <si>
    <t>HOT SPRINGS</t>
  </si>
  <si>
    <t>HOVEN</t>
  </si>
  <si>
    <t>HOWARD</t>
  </si>
  <si>
    <t>HURON</t>
  </si>
  <si>
    <t>IPSWICH PUBLIC</t>
  </si>
  <si>
    <t>IRENE - WAKONDA</t>
  </si>
  <si>
    <t>IROQUOIS</t>
  </si>
  <si>
    <t>JONES COUNTY</t>
  </si>
  <si>
    <t>KADOKA AREA</t>
  </si>
  <si>
    <t>KIMBALL</t>
  </si>
  <si>
    <t>LAKE PRESTON</t>
  </si>
  <si>
    <t>LANGFORD AREA</t>
  </si>
  <si>
    <t>LEAD-DEADWOOD</t>
  </si>
  <si>
    <t>LEMMON</t>
  </si>
  <si>
    <t>LENNOX</t>
  </si>
  <si>
    <t>LEOLA</t>
  </si>
  <si>
    <t>LYMAN</t>
  </si>
  <si>
    <t>MADISON CENTRAL</t>
  </si>
  <si>
    <t>MARION</t>
  </si>
  <si>
    <t>MC COOK CENTRAL</t>
  </si>
  <si>
    <t>MC INTOSH</t>
  </si>
  <si>
    <t>MC LAUGHLIN</t>
  </si>
  <si>
    <t>MEADE</t>
  </si>
  <si>
    <t>MENNO</t>
  </si>
  <si>
    <t>MILBANK</t>
  </si>
  <si>
    <t>MILLER AREA</t>
  </si>
  <si>
    <t>MITCHELL</t>
  </si>
  <si>
    <t>MOBRIDGE - POLLOCK</t>
  </si>
  <si>
    <t>MONTROSE</t>
  </si>
  <si>
    <t>MOUNT VERNON</t>
  </si>
  <si>
    <t>NEW UNDERWOOD</t>
  </si>
  <si>
    <t>NEWELL</t>
  </si>
  <si>
    <t>NORTHWESTERN AREA</t>
  </si>
  <si>
    <t>OELRICHS</t>
  </si>
  <si>
    <t>PARKER</t>
  </si>
  <si>
    <t>PARKSTON</t>
  </si>
  <si>
    <t>PIERRE</t>
  </si>
  <si>
    <t>PLANKINTON</t>
  </si>
  <si>
    <t>PLATTE - GEDDES</t>
  </si>
  <si>
    <t>RAPID CITY</t>
  </si>
  <si>
    <t>REDFIELD</t>
  </si>
  <si>
    <t>ROSHOLT</t>
  </si>
  <si>
    <t>SANBORN CENTRAL</t>
  </si>
  <si>
    <t>SCOTLAND</t>
  </si>
  <si>
    <t>SELBY AREA</t>
  </si>
  <si>
    <t>SIOUX FALLS</t>
  </si>
  <si>
    <t>SIOUX VALLEY</t>
  </si>
  <si>
    <t>SMEE</t>
  </si>
  <si>
    <t>SOUTH CENTRAL</t>
  </si>
  <si>
    <t>SPEARFISH</t>
  </si>
  <si>
    <t>STANLEY COUNTY</t>
  </si>
  <si>
    <t>SUMMIT</t>
  </si>
  <si>
    <t>TEA AREA</t>
  </si>
  <si>
    <t>TIMBER LAKE</t>
  </si>
  <si>
    <t>TODD COUNTY</t>
  </si>
  <si>
    <t>TRI-VALLEY</t>
  </si>
  <si>
    <t>VERMILLION</t>
  </si>
  <si>
    <t>WAGNER COMMUNITY</t>
  </si>
  <si>
    <t>WALL</t>
  </si>
  <si>
    <t>WARNER</t>
  </si>
  <si>
    <t>WATERTOWN</t>
  </si>
  <si>
    <t>WAUBAY</t>
  </si>
  <si>
    <t>WAVERLY</t>
  </si>
  <si>
    <t>WEBSTER AREA</t>
  </si>
  <si>
    <t>WESSINGTON SPRINGS</t>
  </si>
  <si>
    <t>WEST CENTRAL</t>
  </si>
  <si>
    <t>WHITE LAKE</t>
  </si>
  <si>
    <t>WHITE RIVER</t>
  </si>
  <si>
    <t>WILLOW LAKE</t>
  </si>
  <si>
    <t>WILMOT</t>
  </si>
  <si>
    <t>WINNER</t>
  </si>
  <si>
    <t>WOLSEY - WESSINGTON</t>
  </si>
  <si>
    <t>WOONSOCKET</t>
  </si>
  <si>
    <t>YANKTON</t>
  </si>
  <si>
    <t xml:space="preserve"> </t>
  </si>
  <si>
    <t>Dist#</t>
  </si>
  <si>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</si>
  <si>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</si>
  <si>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</si>
  <si>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</si>
  <si>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</si>
  <si>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</si>
  <si>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</si>
  <si>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</si>
  <si>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</si>
  <si>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</si>
  <si>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</si>
  <si>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</si>
  <si>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</si>
  <si>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</si>
  <si>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</si>
  <si>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</si>
  <si>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</si>
  <si>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Bridgewater-Emery 30-3</t>
  </si>
  <si>
    <t>Britton-Hecla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</si>
  <si>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</si>
  <si>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</si>
  <si>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</si>
  <si>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</si>
  <si>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</si>
  <si>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</si>
  <si>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</si>
  <si>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Area 39-1</t>
  </si>
  <si>
    <t>Clark 12-2</t>
  </si>
  <si>
    <t>Colman-Egan 50-5</t>
  </si>
  <si>
    <t>Colome Consolidated 59-3</t>
  </si>
  <si>
    <t>Corsica-Stickney 21-3</t>
  </si>
  <si>
    <t>Custer 16-1</t>
  </si>
  <si>
    <t>Dakota Valley 61-8</t>
  </si>
  <si>
    <t>De Smet 38-2</t>
  </si>
  <si>
    <t>Dell Rapids 49-3</t>
  </si>
  <si>
    <t>Deubrook Area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</si>
  <si>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</si>
  <si>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</si>
  <si>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</si>
  <si>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</si>
  <si>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</si>
  <si>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</si>
  <si>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</si>
  <si>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</si>
  <si>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</si>
  <si>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</si>
  <si>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</si>
  <si>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</si>
  <si>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</si>
  <si>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</si>
  <si>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Schools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</si>
  <si>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</si>
  <si>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</si>
  <si>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</si>
  <si>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</si>
  <si>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</si>
  <si>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</si>
  <si>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</si>
  <si>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</si>
  <si>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</si>
  <si>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</si>
  <si>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</si>
  <si>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</si>
  <si>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</si>
  <si>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</si>
  <si>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</si>
  <si>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</si>
  <si>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Highmore-Harrold 34-2</t>
  </si>
  <si>
    <t>Hill City 51-2</t>
  </si>
  <si>
    <t>Hitchcock-Tulare 56-6</t>
  </si>
  <si>
    <t>Hot Springs 23-2</t>
  </si>
  <si>
    <t>Hoven 53-2</t>
  </si>
  <si>
    <t>Howard 48-3</t>
  </si>
  <si>
    <t>Huron 02-2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</si>
  <si>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</si>
  <si>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</si>
  <si>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</si>
  <si>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</si>
  <si>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</si>
  <si>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</si>
  <si>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</si>
  <si>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Langford Area 45-5</t>
  </si>
  <si>
    <t>Lead-Deadwood 40-1</t>
  </si>
  <si>
    <t>Lemmon 52-4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</si>
  <si>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</si>
  <si>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</si>
  <si>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</si>
  <si>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</si>
  <si>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</si>
  <si>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</si>
  <si>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</si>
  <si>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</si>
  <si>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</si>
  <si>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</si>
  <si>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</si>
  <si>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</si>
  <si>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</si>
  <si>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</si>
  <si>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</si>
  <si>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</si>
  <si>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</si>
  <si>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</si>
  <si>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</si>
  <si>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</si>
  <si>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Oglala Lakota 65-1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</si>
  <si>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</si>
  <si>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</si>
  <si>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</si>
  <si>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</si>
  <si>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</si>
  <si>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</si>
  <si>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Area 51-4</t>
  </si>
  <si>
    <t>Redfield 56-4</t>
  </si>
  <si>
    <t>Rosholt 54-4</t>
  </si>
  <si>
    <t>Rutland 39-4</t>
  </si>
  <si>
    <t>Sanborn Central 55-5</t>
  </si>
  <si>
    <t>Scotland 04-3</t>
  </si>
  <si>
    <t>Selby Area 62-5</t>
  </si>
  <si>
    <t>Sioux Falls 49-5</t>
  </si>
  <si>
    <t>Sioux Valley 05-5</t>
  </si>
  <si>
    <t>Sisseton 54-2</t>
  </si>
  <si>
    <t>Smee 15-3</t>
  </si>
  <si>
    <t>South Central 26-5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</si>
  <si>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</si>
  <si>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</si>
  <si>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</si>
  <si>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</si>
  <si>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</si>
  <si>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</si>
  <si>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</si>
  <si>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</si>
  <si>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</si>
  <si>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Viborg-Hurley 60-6</t>
  </si>
  <si>
    <t>Wagner Community 11-4</t>
  </si>
  <si>
    <t>Wall 51-5</t>
  </si>
  <si>
    <t>Warner 06-5</t>
  </si>
  <si>
    <t>Watertown 14-4</t>
  </si>
  <si>
    <t>Waubay 18-3</t>
  </si>
  <si>
    <t>Waverly 14-5</t>
  </si>
  <si>
    <t>Webster Area 18-5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</si>
  <si>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</si>
  <si>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</si>
  <si>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</si>
  <si>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</si>
  <si>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</si>
  <si>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</si>
  <si>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</si>
  <si>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</si>
  <si>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</si>
  <si>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</si>
  <si>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Grant-Deuel 25-3</t>
  </si>
  <si>
    <t>Wagner 11-4</t>
  </si>
  <si>
    <t>Selby 62-5</t>
  </si>
  <si>
    <t>Oglala Lakota County 65-1</t>
  </si>
  <si>
    <t>Faulkton Area 24-4</t>
  </si>
  <si>
    <t>Deubrook 05-6</t>
  </si>
  <si>
    <t>Chester 39-1</t>
  </si>
  <si>
    <t xml:space="preserve"> 2018 State Aid Fall Enrollment</t>
  </si>
  <si>
    <t>AG</t>
  </si>
  <si>
    <t>Other</t>
  </si>
  <si>
    <t>STATEWIDE TOTAL</t>
  </si>
  <si>
    <t>Stickney 01-2</t>
  </si>
  <si>
    <t>Corsica 21-2</t>
  </si>
  <si>
    <t>Miller  29-4</t>
  </si>
  <si>
    <t>Lead-Deadwood</t>
  </si>
  <si>
    <t xml:space="preserve"> 2017 State Aid Fall Enrollment</t>
  </si>
  <si>
    <t xml:space="preserve"> 2016 State Aid Fall Enrollment</t>
  </si>
  <si>
    <t>2015 State Aid Fall Enrollment</t>
  </si>
  <si>
    <t>2014 State Aid Fall Enrollment</t>
  </si>
  <si>
    <t>2013 State Aid Fall Enrollment</t>
  </si>
  <si>
    <t>HISTORY OF STATE AID FALL ENROLLMENTS</t>
  </si>
  <si>
    <t>Total</t>
  </si>
  <si>
    <t>Total Formula Number of Certified Staff FTE</t>
  </si>
  <si>
    <t>TOTAL GENERAL STATE AID NEED</t>
  </si>
  <si>
    <t>Owner-Occupied</t>
  </si>
  <si>
    <t>*Double check valuations with County Auditor(s)</t>
  </si>
  <si>
    <t>2019 State Aid Fall Enrollment</t>
  </si>
  <si>
    <t>Taxable</t>
  </si>
  <si>
    <t>Local Effort</t>
  </si>
  <si>
    <t>Ag Disc</t>
  </si>
  <si>
    <t>OO Disc</t>
  </si>
  <si>
    <t>M Disc</t>
  </si>
  <si>
    <t>MOO Disc</t>
  </si>
  <si>
    <t>Oth Disc</t>
  </si>
  <si>
    <t>Ag TIF</t>
  </si>
  <si>
    <t>OO TIF</t>
  </si>
  <si>
    <t>M TIF</t>
  </si>
  <si>
    <t>Oth TIF</t>
  </si>
  <si>
    <t>Total Ag</t>
  </si>
  <si>
    <t>Total OO</t>
  </si>
  <si>
    <t>Total Other</t>
  </si>
  <si>
    <t>2nd Half Local Effort</t>
  </si>
  <si>
    <t>Total Estimated Local Effort - Property Taxes</t>
  </si>
  <si>
    <t>Rapid City 51-4</t>
  </si>
  <si>
    <t>Description</t>
  </si>
  <si>
    <t>Difference</t>
  </si>
  <si>
    <t>Step 1</t>
  </si>
  <si>
    <t>State Aid Fall Enrollment Count</t>
  </si>
  <si>
    <t>Target Teacher Ratio</t>
  </si>
  <si>
    <t>ELL Student Count</t>
  </si>
  <si>
    <t>ELL Adjustment Number of Teachers</t>
  </si>
  <si>
    <t>Target Teacher Salary</t>
  </si>
  <si>
    <t>Increased by Benefit Rate</t>
  </si>
  <si>
    <t>Total Teacher Compensation</t>
  </si>
  <si>
    <t>Step 2</t>
  </si>
  <si>
    <t>Overhead Rate</t>
  </si>
  <si>
    <t>Overhead Need</t>
  </si>
  <si>
    <t>Step 3</t>
  </si>
  <si>
    <t>Step 4</t>
  </si>
  <si>
    <t>Less: Local Effort</t>
  </si>
  <si>
    <t>Local Effort - Property Taxes (-)</t>
  </si>
  <si>
    <t>references in SDCL 13-13-10.1</t>
  </si>
  <si>
    <t>District No.</t>
  </si>
  <si>
    <t>District</t>
  </si>
  <si>
    <t>Need A</t>
  </si>
  <si>
    <t>LEP Adj
Need B</t>
  </si>
  <si>
    <t>Sum Need 
A &amp; B</t>
  </si>
  <si>
    <t>Target Teacher Compensation
Sal &amp; Ben</t>
  </si>
  <si>
    <t>Teacher Compensation Need</t>
  </si>
  <si>
    <t>Overhead</t>
  </si>
  <si>
    <t>Calculated Formula Need</t>
  </si>
  <si>
    <t>Alternative Need</t>
  </si>
  <si>
    <t>State Aid Need</t>
  </si>
  <si>
    <t>Bridgewater -Emery 30-3</t>
  </si>
  <si>
    <t>Britton - Hecla 45-4</t>
  </si>
  <si>
    <t>L-D Career &amp; Tech Ed.</t>
  </si>
  <si>
    <t>=State Aid Fall Enrollment/Target Teacher Ratio</t>
  </si>
  <si>
    <t>Formula Number of Certified Teachers</t>
  </si>
  <si>
    <t>Total Formula Number of Teachers</t>
  </si>
  <si>
    <t>Calculate Total Teacher Compensation</t>
  </si>
  <si>
    <t>=Total Teacher Compensation * Overhead Rate</t>
  </si>
  <si>
    <t>= Total Teacher Compensation + Overhead Need</t>
  </si>
  <si>
    <t>LEP Formula Teachers</t>
  </si>
  <si>
    <t>TOTAL DISTRICT NEED</t>
  </si>
  <si>
    <t>TOTAL STATE AID</t>
  </si>
  <si>
    <t>= Target Teacher Salary * Benefit Rate of 29%</t>
  </si>
  <si>
    <t>**Levies do not include additional opt-out levy, if applicable</t>
  </si>
  <si>
    <t>Target Teacher Compensation</t>
  </si>
  <si>
    <t xml:space="preserve"> 2020 State Aid Fall Enrollment</t>
  </si>
  <si>
    <t>District Number</t>
  </si>
  <si>
    <t>Mobile Home Owner Occupied</t>
  </si>
  <si>
    <t xml:space="preserve">Other </t>
  </si>
  <si>
    <t xml:space="preserve">Utility </t>
  </si>
  <si>
    <t>FAULKTON AREA SCHOOLS</t>
  </si>
  <si>
    <t>=Base Formula # of Teachers + ELL Adjustment # of Teachers</t>
  </si>
  <si>
    <t>=Total Formula # of Teachers * Target Teacher Compensation</t>
  </si>
  <si>
    <t>Count of Students Residing in Residential Treatment Facility</t>
  </si>
  <si>
    <t>2021 State Aid Fall Enrollment</t>
  </si>
  <si>
    <t>CORSICA-STICKNEY</t>
  </si>
  <si>
    <t>TRIPP-DELMONT</t>
  </si>
  <si>
    <t>COLMAN-EGAN</t>
  </si>
  <si>
    <t>VIBORG/HURLEY</t>
  </si>
  <si>
    <t>ALCESTER-HUDSON</t>
  </si>
  <si>
    <t>OGLALA LAKOTA</t>
  </si>
  <si>
    <t>TOTAL LOCAL EFFORT Property Taxes
1st &amp; 2nd Half</t>
  </si>
  <si>
    <t>GENERAL STATE AID BUDGET COMPARISON</t>
  </si>
  <si>
    <t>Weighted Alternative Instruction Activity Student Count</t>
  </si>
  <si>
    <t>Local Effort - Other Revenue</t>
  </si>
  <si>
    <r>
      <t xml:space="preserve">TOTAL GENERAL STATE AID NEED </t>
    </r>
    <r>
      <rPr>
        <b/>
        <sz val="12"/>
        <color theme="1"/>
        <rFont val="Calibri"/>
        <family val="2"/>
        <scheme val="minor"/>
      </rPr>
      <t>(from row 33)</t>
    </r>
  </si>
  <si>
    <t xml:space="preserve"> 2022 State Aid Fall Enrollment</t>
  </si>
  <si>
    <t>Agricultural
 (Ag)</t>
  </si>
  <si>
    <t>Owner 
Occupied 
(OO)</t>
  </si>
  <si>
    <t>Mobile 
Home</t>
  </si>
  <si>
    <t>MOO 
TIF</t>
  </si>
  <si>
    <r>
      <t xml:space="preserve">Number of </t>
    </r>
    <r>
      <rPr>
        <b/>
        <u/>
        <sz val="10"/>
        <color theme="1"/>
        <rFont val="Calibri"/>
        <family val="2"/>
        <scheme val="minor"/>
      </rPr>
      <t>Eligible</t>
    </r>
    <r>
      <rPr>
        <sz val="10"/>
        <color theme="1"/>
        <rFont val="Calibri"/>
        <family val="2"/>
        <scheme val="minor"/>
      </rPr>
      <t xml:space="preserve"> Alternative Instruction Students in HS Activities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</si>
  <si>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Alternative Instruction Activity Weight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</si>
  <si>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Target Student/Certified Instructional Staff FTE Ratio</t>
    </r>
  </si>
  <si>
    <r>
      <t xml:space="preserve">Number of </t>
    </r>
    <r>
      <rPr>
        <b/>
        <u/>
        <sz val="10"/>
        <color theme="1"/>
        <rFont val="Calibri"/>
        <family val="2"/>
        <scheme val="minor"/>
      </rPr>
      <t>Eligible</t>
    </r>
    <r>
      <rPr>
        <sz val="10"/>
        <color theme="1"/>
        <rFont val="Calibri"/>
        <family val="2"/>
        <scheme val="minor"/>
      </rPr>
      <t xml:space="preserve"> LEP Students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</si>
  <si>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LEP Weight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</si>
  <si>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Target Certified Instructional Staff Benefits %</t>
    </r>
  </si>
  <si>
    <r>
      <rPr>
        <b/>
        <sz val="10"/>
        <color theme="1"/>
        <rFont val="Calibri"/>
        <family val="2"/>
        <scheme val="minor"/>
      </rPr>
      <t>X</t>
    </r>
    <r>
      <rPr>
        <sz val="10"/>
        <color theme="1"/>
        <rFont val="Calibri"/>
        <family val="2"/>
        <scheme val="minor"/>
      </rPr>
      <t xml:space="preserve"> % of Overhead Costs</t>
    </r>
  </si>
  <si>
    <t>2a</t>
  </si>
  <si>
    <t>(4)</t>
  </si>
  <si>
    <t>(3)</t>
  </si>
  <si>
    <t>10a</t>
  </si>
  <si>
    <t>10b</t>
  </si>
  <si>
    <t>10c</t>
  </si>
  <si>
    <t>10d</t>
  </si>
  <si>
    <t>10e</t>
  </si>
  <si>
    <t>10f</t>
  </si>
  <si>
    <t>11 &amp; 12</t>
  </si>
  <si>
    <r>
      <t xml:space="preserve">Adjustment to Need 
</t>
    </r>
    <r>
      <rPr>
        <sz val="9"/>
        <rFont val="Calibri"/>
        <family val="2"/>
      </rPr>
      <t>(ARSD 24:17:03:07)</t>
    </r>
  </si>
  <si>
    <t>FY2024</t>
  </si>
  <si>
    <t>Utility 
Taxes 
1140</t>
  </si>
  <si>
    <t>Local Revenue 
in Lieu of Taxes 
1210</t>
  </si>
  <si>
    <t>County Apportionment 
2110</t>
  </si>
  <si>
    <t>County Revenue 
in Lieu of Taxes 
2200</t>
  </si>
  <si>
    <t>Renewable Facility Taxes 
(Wind)
3113</t>
  </si>
  <si>
    <t>Bank Franchise Taxes 
3114</t>
  </si>
  <si>
    <t>WIND 
FARM EXCLUSIONS</t>
  </si>
  <si>
    <t>Year of Exclusion 
Project Name</t>
  </si>
  <si>
    <t>Oldham-Ramona-Rutland 39-6</t>
  </si>
  <si>
    <t>FY2024 Reorganization:</t>
  </si>
  <si>
    <t>OLDHAM-RAMONA-RUTLAND</t>
  </si>
  <si>
    <t>Local Effort - Other Revenues</t>
  </si>
  <si>
    <t>Other Revenue Local Effort</t>
  </si>
  <si>
    <t>=Total Need minus Local Effort: Property Taxes &amp; Other Revenue</t>
  </si>
  <si>
    <t>2023 State Aid Fall Enrollment</t>
  </si>
  <si>
    <t>Final Pay 2024 Valuations, by School District</t>
  </si>
  <si>
    <t>as of 1/11/2024</t>
  </si>
  <si>
    <t>SISSETON</t>
  </si>
  <si>
    <t>STATE TOTAL</t>
  </si>
  <si>
    <t>FY2024 General State Aid Need</t>
  </si>
  <si>
    <t>as of 12/8/2023</t>
  </si>
  <si>
    <t>updated 9/18/23</t>
  </si>
  <si>
    <t>Fall 2023 State Aid Fall Enrollment</t>
  </si>
  <si>
    <t>2022-2023 Alterative Instruction Student Actviites Weighted Count</t>
  </si>
  <si>
    <t>2022-2023 
English Learner
 Eligible Student Weighted Count</t>
  </si>
  <si>
    <t>SAFE + Alt Inst Activity</t>
  </si>
  <si>
    <t>Actual EL Count</t>
  </si>
  <si>
    <t>FY24 LOCAL EFFORT - OTH Revenue</t>
  </si>
  <si>
    <t>FY2025</t>
  </si>
  <si>
    <t>State Aid Fall Enrollment Count (Fall 2024)</t>
  </si>
  <si>
    <t>2nd Half Local Effort Projection (1st Half Pay 2025)</t>
  </si>
  <si>
    <t>2023 Pay 2024 Valuation (as of 1/11/2024)</t>
  </si>
  <si>
    <r>
      <rPr>
        <u/>
        <sz val="10"/>
        <color theme="1"/>
        <rFont val="Calibri"/>
        <family val="2"/>
        <scheme val="minor"/>
      </rPr>
      <t>Estimated</t>
    </r>
    <r>
      <rPr>
        <sz val="10"/>
        <color theme="1"/>
        <rFont val="Calibri"/>
        <family val="2"/>
        <scheme val="minor"/>
      </rPr>
      <t xml:space="preserve"> 2024 Pay 2025 Valuation*</t>
    </r>
  </si>
  <si>
    <t>Proposed 2024 Pay 2025 Levies**</t>
  </si>
  <si>
    <t>Estimated 2nd Half Local Effort - (1st Half Pay 2025)</t>
  </si>
  <si>
    <t>1st Half Local Effort - Property Taxes 2nd Half Pay 2024</t>
  </si>
  <si>
    <r>
      <rPr>
        <b/>
        <sz val="13"/>
        <color rgb="FFFF0000"/>
        <rFont val="Calibri"/>
        <family val="2"/>
        <scheme val="minor"/>
      </rPr>
      <t>Estimated</t>
    </r>
    <r>
      <rPr>
        <sz val="13"/>
        <color theme="1"/>
        <rFont val="Calibri"/>
        <family val="2"/>
        <scheme val="minor"/>
      </rPr>
      <t xml:space="preserve"> 2nd Half Local Effort - Property Taxes 1st Half Pay 2025</t>
    </r>
  </si>
  <si>
    <t>ESTIMATED FY2025 General State Aid</t>
  </si>
  <si>
    <t>Assumed Pay 2025 Valuation Growth %</t>
  </si>
  <si>
    <r>
      <t xml:space="preserve">FY2025 Other Revenue Equalization </t>
    </r>
    <r>
      <rPr>
        <b/>
        <sz val="11"/>
        <color theme="1"/>
        <rFont val="Calibri"/>
        <family val="2"/>
        <scheme val="minor"/>
      </rPr>
      <t>(based on FY23 Annual Financial Report)</t>
    </r>
  </si>
  <si>
    <t>as of 10/30/2023</t>
  </si>
  <si>
    <t>FY2023
Total Reported Other Revenues</t>
  </si>
  <si>
    <t>FY2025
Total Local Effort from Other Revenue</t>
  </si>
  <si>
    <t>3 - Prevailing Wind</t>
  </si>
  <si>
    <t>4 - Crocker</t>
  </si>
  <si>
    <t>2 - Tatanka Ridge
4 - Coyote Ridge</t>
  </si>
  <si>
    <t>2 - Deuel Harvest
2 - Tatanka Ridge
3 - NSP MN Crowned Ridge II</t>
  </si>
  <si>
    <t>2 - Tatanka Ridge</t>
  </si>
  <si>
    <t>3 - Triple H</t>
  </si>
  <si>
    <t>5 - Brule County</t>
  </si>
  <si>
    <t>4 - Crowned Ridge</t>
  </si>
  <si>
    <t>3 - Willow Creek</t>
  </si>
  <si>
    <t>1 - NSP Dakota Range I &amp; II
2 - Dakota Range III</t>
  </si>
  <si>
    <t>3 - NSP MN Crowned Ridge II</t>
  </si>
  <si>
    <t>1 - NSP Dakota Range I &amp; II
3 - NSP MN Crowned Ridge II
4 - Crowned Ridge</t>
  </si>
  <si>
    <t>5 - Aurora County</t>
  </si>
  <si>
    <t>FY2025 General State Aid Budget Calculator</t>
  </si>
  <si>
    <t>as of 5/6/2024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</si>
</sst>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General_)"/>
    <numFmt numFmtId="168" formatCode="&quot;$&quot;#,##0"/>
    <numFmt numFmtId="169" formatCode="&quot;$&quot;#,##0.00"/>
    <numFmt numFmtId="170" formatCode="_(&quot;$&quot;* #,##0.000_);_(&quot;$&quot;* \(#,##0.000\);_(&quot;$&quot;* &quot;-&quot;??_);_(@_)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Gill Sans MT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sz val="9"/>
      <color theme="1"/>
      <name val="Calibri"/>
      <family val="2"/>
      <scheme val="minor"/>
    </font>
    <font>
      <b/>
      <sz val="20"/>
      <color theme="5" tint="-0.249977111117893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4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5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3" tint="-0.499984740745262"/>
      <name val="Calibri"/>
      <family val="2"/>
      <scheme val="minor"/>
    </font>
    <font>
      <sz val="10"/>
      <name val="Arial"/>
    </font>
    <font>
      <b/>
      <sz val="10"/>
      <name val="Calibri"/>
      <family val="2"/>
    </font>
    <font>
      <sz val="11"/>
      <name val="Calibri"/>
      <family val="2"/>
    </font>
    <font>
      <sz val="10"/>
      <color indexed="8"/>
      <name val="Arial"/>
    </font>
    <font>
      <b/>
      <sz val="13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C7B784"/>
        <bgColor indexed="64"/>
      </patternFill>
    </fill>
    <fill>
      <patternFill patternType="solid">
        <fgColor rgb="FFC7B784"/>
        <bgColor theme="4" tint="0.79995117038483843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C7C784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thin">
        <color theme="0" tint="-0.14996795556505021"/>
      </bottom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6795556505021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medium">
        <color theme="0" tint="-0.14990691854609822"/>
      </top>
      <bottom style="medium">
        <color theme="0" tint="-0.14990691854609822"/>
      </bottom>
      <diagonal/>
    </border>
    <border>
      <left style="medium">
        <color theme="0" tint="-0.149906918546098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theme="0" tint="-0.14993743705557422"/>
      </left>
      <right style="medium">
        <color theme="0" tint="-0.14990691854609822"/>
      </right>
      <top style="thin">
        <color theme="0" tint="-0.14993743705557422"/>
      </top>
      <bottom style="medium">
        <color theme="0" tint="-0.14990691854609822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n">
        <color auto="1"/>
      </bottom>
      <diagonal/>
    </border>
    <border>
      <left/>
      <right/>
      <top style="thick">
        <color theme="5" tint="-0.24994659260841701"/>
      </top>
      <bottom style="thin">
        <color auto="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n">
        <color auto="1"/>
      </bottom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/>
      <top style="thin">
        <color auto="1"/>
      </top>
      <bottom style="thick">
        <color theme="5" tint="-0.24994659260841701"/>
      </bottom>
      <diagonal/>
    </border>
    <border>
      <left/>
      <right/>
      <top style="thin">
        <color auto="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n">
        <color auto="1"/>
      </top>
      <bottom style="thick">
        <color theme="5" tint="-0.2499465926084170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theme="0" tint="-0.14990691854609822"/>
      </right>
      <top style="medium">
        <color theme="0" tint="-0.14990691854609822"/>
      </top>
      <bottom/>
      <diagonal/>
    </border>
    <border>
      <left style="medium">
        <color theme="0" tint="-0.14990691854609822"/>
      </left>
      <right style="medium">
        <color theme="0" tint="-0.14990691854609822"/>
      </right>
      <top style="medium">
        <color theme="0" tint="-0.149906918546098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2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0" fontId="3" fillId="0" borderId="0"/>
    <xf numFmtId="0" fontId="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0" fillId="0" borderId="0"/>
  </cellStyleXfs>
  <cellXfs count="295">
    <xf numFmtId="0" fontId="0" fillId="0" borderId="0" xfId="0"/>
    <xf numFmtId="0" fontId="7" fillId="10" borderId="21" xfId="19" applyFont="1" applyFill="1" applyBorder="1" applyAlignment="1">
      <alignment horizontal="center"/>
    </xf>
    <xf numFmtId="0" fontId="7" fillId="0" borderId="22" xfId="19" applyFont="1" applyBorder="1" applyAlignment="1">
      <alignment horizontal="right"/>
    </xf>
    <xf numFmtId="0" fontId="7" fillId="0" borderId="22" xfId="19" applyFont="1" applyBorder="1"/>
    <xf numFmtId="0" fontId="7" fillId="0" borderId="30" xfId="19" applyFont="1" applyBorder="1" applyAlignment="1">
      <alignment horizontal="right"/>
    </xf>
    <xf numFmtId="0" fontId="7" fillId="0" borderId="30" xfId="19" applyFont="1" applyBorder="1"/>
    <xf numFmtId="0" fontId="9" fillId="0" borderId="0" xfId="0" applyFont="1"/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5" fontId="9" fillId="0" borderId="0" xfId="2" applyNumberFormat="1" applyFont="1" applyFill="1" applyBorder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44" fontId="0" fillId="0" borderId="45" xfId="2" applyFont="1" applyFill="1" applyBorder="1" applyProtection="1">
      <protection locked="0"/>
    </xf>
    <xf numFmtId="44" fontId="9" fillId="0" borderId="0" xfId="2" applyFont="1" applyProtection="1">
      <protection locked="0"/>
    </xf>
    <xf numFmtId="9" fontId="0" fillId="0" borderId="3" xfId="1" applyNumberFormat="1" applyFont="1" applyFill="1" applyBorder="1" applyProtection="1"/>
    <xf numFmtId="43" fontId="0" fillId="0" borderId="3" xfId="1" applyFont="1" applyBorder="1" applyProtection="1"/>
    <xf numFmtId="43" fontId="0" fillId="0" borderId="5" xfId="1" applyNumberFormat="1" applyFont="1" applyFill="1" applyBorder="1" applyProtection="1"/>
    <xf numFmtId="43" fontId="0" fillId="0" borderId="5" xfId="1" applyNumberFormat="1" applyFont="1" applyBorder="1" applyProtection="1"/>
    <xf numFmtId="43" fontId="0" fillId="0" borderId="0" xfId="1" applyNumberFormat="1" applyFont="1" applyBorder="1" applyProtection="1">
      <protection locked="0"/>
    </xf>
    <xf numFmtId="165" fontId="0" fillId="0" borderId="45" xfId="2" applyNumberFormat="1" applyFont="1" applyFill="1" applyBorder="1" applyProtection="1">
      <protection locked="0"/>
    </xf>
    <xf numFmtId="165" fontId="9" fillId="0" borderId="0" xfId="2" applyNumberFormat="1" applyFont="1" applyProtection="1">
      <protection locked="0"/>
    </xf>
    <xf numFmtId="9" fontId="0" fillId="0" borderId="5" xfId="3" applyFont="1" applyFill="1" applyBorder="1" applyProtection="1"/>
    <xf numFmtId="43" fontId="9" fillId="0" borderId="0" xfId="0" applyNumberFormat="1" applyFont="1" applyProtection="1">
      <protection locked="0"/>
    </xf>
    <xf numFmtId="43" fontId="0" fillId="0" borderId="9" xfId="1" applyFont="1" applyBorder="1" applyProtection="1"/>
    <xf numFmtId="44" fontId="0" fillId="0" borderId="0" xfId="2" applyFont="1" applyProtection="1">
      <protection locked="0"/>
    </xf>
    <xf numFmtId="43" fontId="13" fillId="0" borderId="7" xfId="1" applyFont="1" applyBorder="1" applyProtection="1"/>
    <xf numFmtId="44" fontId="10" fillId="0" borderId="7" xfId="2" applyFont="1" applyBorder="1" applyProtection="1">
      <protection locked="0"/>
    </xf>
    <xf numFmtId="44" fontId="0" fillId="0" borderId="3" xfId="2" applyNumberFormat="1" applyFont="1" applyFill="1" applyBorder="1" applyProtection="1"/>
    <xf numFmtId="44" fontId="9" fillId="0" borderId="0" xfId="0" applyNumberFormat="1" applyFont="1" applyProtection="1">
      <protection locked="0"/>
    </xf>
    <xf numFmtId="9" fontId="0" fillId="0" borderId="5" xfId="2" applyNumberFormat="1" applyFont="1" applyFill="1" applyBorder="1" applyProtection="1"/>
    <xf numFmtId="44" fontId="0" fillId="0" borderId="3" xfId="2" applyNumberFormat="1" applyFont="1" applyBorder="1" applyProtection="1"/>
    <xf numFmtId="0" fontId="14" fillId="0" borderId="0" xfId="0" applyFont="1" applyFill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165" fontId="14" fillId="0" borderId="0" xfId="2" applyNumberFormat="1" applyFont="1" applyFill="1" applyBorder="1" applyProtection="1"/>
    <xf numFmtId="10" fontId="0" fillId="0" borderId="3" xfId="2" applyNumberFormat="1" applyFont="1" applyFill="1" applyBorder="1" applyProtection="1"/>
    <xf numFmtId="0" fontId="13" fillId="0" borderId="0" xfId="0" applyFont="1" applyFill="1" applyBorder="1" applyProtection="1">
      <protection locked="0"/>
    </xf>
    <xf numFmtId="166" fontId="13" fillId="0" borderId="0" xfId="3" applyNumberFormat="1" applyFont="1" applyFill="1" applyBorder="1" applyAlignment="1" applyProtection="1">
      <alignment horizontal="center"/>
      <protection locked="0"/>
    </xf>
    <xf numFmtId="166" fontId="14" fillId="0" borderId="0" xfId="3" applyNumberFormat="1" applyFont="1" applyFill="1" applyBorder="1" applyAlignment="1" applyProtection="1">
      <alignment horizontal="center"/>
      <protection locked="0"/>
    </xf>
    <xf numFmtId="44" fontId="0" fillId="0" borderId="0" xfId="0" applyNumberFormat="1" applyFont="1" applyBorder="1" applyProtection="1">
      <protection locked="0"/>
    </xf>
    <xf numFmtId="170" fontId="14" fillId="0" borderId="0" xfId="2" applyNumberFormat="1" applyFont="1" applyFill="1" applyBorder="1" applyProtection="1"/>
    <xf numFmtId="165" fontId="13" fillId="0" borderId="0" xfId="2" applyNumberFormat="1" applyFont="1" applyFill="1" applyBorder="1" applyProtection="1"/>
    <xf numFmtId="0" fontId="14" fillId="0" borderId="36" xfId="0" applyFont="1" applyBorder="1" applyAlignment="1" applyProtection="1">
      <alignment horizontal="center"/>
    </xf>
    <xf numFmtId="0" fontId="9" fillId="0" borderId="37" xfId="0" applyFont="1" applyFill="1" applyBorder="1" applyProtection="1">
      <protection locked="0"/>
    </xf>
    <xf numFmtId="0" fontId="17" fillId="0" borderId="38" xfId="0" applyFont="1" applyBorder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39" xfId="0" applyFont="1" applyBorder="1" applyAlignment="1" applyProtection="1">
      <alignment horizontal="center"/>
    </xf>
    <xf numFmtId="165" fontId="0" fillId="0" borderId="0" xfId="2" applyNumberFormat="1" applyFont="1" applyFill="1" applyBorder="1" applyProtection="1"/>
    <xf numFmtId="165" fontId="0" fillId="0" borderId="39" xfId="2" applyNumberFormat="1" applyFont="1" applyFill="1" applyBorder="1" applyProtection="1"/>
    <xf numFmtId="0" fontId="9" fillId="0" borderId="39" xfId="0" applyFont="1" applyFill="1" applyBorder="1" applyProtection="1">
      <protection locked="0"/>
    </xf>
    <xf numFmtId="165" fontId="0" fillId="0" borderId="0" xfId="2" applyNumberFormat="1" applyFont="1" applyBorder="1" applyProtection="1"/>
    <xf numFmtId="165" fontId="0" fillId="0" borderId="39" xfId="2" applyNumberFormat="1" applyFont="1" applyBorder="1" applyProtection="1"/>
    <xf numFmtId="170" fontId="0" fillId="0" borderId="0" xfId="2" applyNumberFormat="1" applyFont="1" applyFill="1" applyBorder="1" applyProtection="1"/>
    <xf numFmtId="0" fontId="0" fillId="0" borderId="39" xfId="0" applyFont="1" applyFill="1" applyBorder="1" applyProtection="1">
      <protection locked="0"/>
    </xf>
    <xf numFmtId="165" fontId="0" fillId="0" borderId="41" xfId="2" applyNumberFormat="1" applyFont="1" applyBorder="1" applyProtection="1"/>
    <xf numFmtId="165" fontId="13" fillId="0" borderId="42" xfId="2" applyNumberFormat="1" applyFont="1" applyFill="1" applyBorder="1" applyProtection="1"/>
    <xf numFmtId="0" fontId="17" fillId="0" borderId="0" xfId="0" applyFont="1" applyBorder="1" applyAlignment="1" applyProtection="1">
      <alignment horizontal="center"/>
    </xf>
    <xf numFmtId="44" fontId="12" fillId="0" borderId="0" xfId="2" applyFont="1" applyProtection="1">
      <protection locked="0"/>
    </xf>
    <xf numFmtId="0" fontId="19" fillId="0" borderId="19" xfId="0" applyFont="1" applyFill="1" applyBorder="1" applyAlignment="1" applyProtection="1">
      <alignment horizontal="right" vertical="center"/>
    </xf>
    <xf numFmtId="0" fontId="20" fillId="0" borderId="23" xfId="0" applyFont="1" applyFill="1" applyBorder="1" applyAlignment="1" applyProtection="1">
      <alignment horizontal="left"/>
    </xf>
    <xf numFmtId="0" fontId="20" fillId="0" borderId="25" xfId="0" applyFont="1" applyFill="1" applyBorder="1" applyAlignment="1" applyProtection="1">
      <alignment horizontal="left"/>
    </xf>
    <xf numFmtId="0" fontId="23" fillId="0" borderId="0" xfId="0" applyFont="1" applyProtection="1">
      <protection locked="0"/>
    </xf>
    <xf numFmtId="0" fontId="24" fillId="0" borderId="0" xfId="0" applyFont="1" applyFill="1" applyBorder="1" applyAlignment="1" applyProtection="1">
      <alignment horizontal="center" vertical="center"/>
    </xf>
    <xf numFmtId="42" fontId="9" fillId="11" borderId="11" xfId="32" applyNumberFormat="1" applyFont="1" applyFill="1" applyBorder="1" applyAlignment="1">
      <alignment horizontal="center" wrapText="1"/>
    </xf>
    <xf numFmtId="0" fontId="10" fillId="0" borderId="6" xfId="0" applyFont="1" applyFill="1" applyBorder="1" applyAlignment="1" applyProtection="1">
      <alignment horizontal="left"/>
    </xf>
    <xf numFmtId="0" fontId="9" fillId="0" borderId="2" xfId="0" applyFont="1" applyBorder="1" applyProtection="1"/>
    <xf numFmtId="0" fontId="9" fillId="0" borderId="2" xfId="0" applyFont="1" applyBorder="1"/>
    <xf numFmtId="0" fontId="9" fillId="0" borderId="4" xfId="0" applyFont="1" applyBorder="1" applyProtection="1"/>
    <xf numFmtId="0" fontId="9" fillId="0" borderId="8" xfId="0" applyFont="1" applyBorder="1" applyProtection="1"/>
    <xf numFmtId="0" fontId="10" fillId="0" borderId="6" xfId="0" applyFont="1" applyBorder="1" applyAlignment="1" applyProtection="1">
      <alignment horizontal="left"/>
    </xf>
    <xf numFmtId="0" fontId="10" fillId="0" borderId="6" xfId="0" applyFont="1" applyBorder="1" applyProtection="1"/>
    <xf numFmtId="0" fontId="29" fillId="0" borderId="0" xfId="0" applyFont="1" applyFill="1" applyBorder="1" applyAlignment="1" applyProtection="1">
      <alignment horizontal="left" vertical="center"/>
    </xf>
    <xf numFmtId="0" fontId="29" fillId="0" borderId="29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left"/>
    </xf>
    <xf numFmtId="0" fontId="9" fillId="0" borderId="38" xfId="0" applyFont="1" applyBorder="1" applyProtection="1"/>
    <xf numFmtId="0" fontId="12" fillId="0" borderId="38" xfId="0" applyFont="1" applyBorder="1" applyProtection="1">
      <protection locked="0"/>
    </xf>
    <xf numFmtId="0" fontId="10" fillId="0" borderId="40" xfId="0" applyFont="1" applyBorder="1" applyProtection="1"/>
    <xf numFmtId="0" fontId="9" fillId="0" borderId="0" xfId="0" applyFont="1" applyBorder="1" applyProtection="1"/>
    <xf numFmtId="0" fontId="9" fillId="0" borderId="0" xfId="0" applyFont="1" applyProtection="1"/>
    <xf numFmtId="0" fontId="9" fillId="0" borderId="0" xfId="0" applyFont="1" applyFill="1" applyBorder="1" applyProtection="1"/>
    <xf numFmtId="0" fontId="32" fillId="0" borderId="0" xfId="9" applyFont="1" applyAlignment="1">
      <alignment horizontal="left"/>
    </xf>
    <xf numFmtId="0" fontId="27" fillId="0" borderId="0" xfId="9" applyFont="1" applyAlignment="1">
      <alignment horizontal="left"/>
    </xf>
    <xf numFmtId="0" fontId="27" fillId="0" borderId="0" xfId="9" applyFont="1"/>
    <xf numFmtId="2" fontId="27" fillId="0" borderId="0" xfId="9" applyNumberFormat="1" applyFont="1"/>
    <xf numFmtId="168" fontId="27" fillId="0" borderId="0" xfId="9" applyNumberFormat="1" applyFont="1"/>
    <xf numFmtId="0" fontId="33" fillId="0" borderId="0" xfId="9" applyFont="1" applyAlignment="1">
      <alignment horizontal="left"/>
    </xf>
    <xf numFmtId="0" fontId="33" fillId="0" borderId="0" xfId="9" applyFont="1" applyAlignment="1">
      <alignment horizontal="center"/>
    </xf>
    <xf numFmtId="2" fontId="33" fillId="0" borderId="0" xfId="9" quotePrefix="1" applyNumberFormat="1" applyFont="1" applyAlignment="1">
      <alignment horizontal="center"/>
    </xf>
    <xf numFmtId="0" fontId="33" fillId="0" borderId="0" xfId="9" quotePrefix="1" applyFont="1" applyAlignment="1">
      <alignment horizontal="center"/>
    </xf>
    <xf numFmtId="169" fontId="34" fillId="0" borderId="0" xfId="9" applyNumberFormat="1" applyFont="1" applyAlignment="1">
      <alignment horizontal="center"/>
    </xf>
    <xf numFmtId="168" fontId="33" fillId="0" borderId="0" xfId="9" applyNumberFormat="1" applyFont="1" applyAlignment="1">
      <alignment horizontal="center"/>
    </xf>
    <xf numFmtId="0" fontId="27" fillId="0" borderId="0" xfId="9" applyFont="1" applyAlignment="1">
      <alignment horizontal="center"/>
    </xf>
    <xf numFmtId="168" fontId="27" fillId="11" borderId="10" xfId="9" applyNumberFormat="1" applyFont="1" applyFill="1" applyBorder="1" applyAlignment="1">
      <alignment horizontal="center" wrapText="1"/>
    </xf>
    <xf numFmtId="0" fontId="27" fillId="0" borderId="46" xfId="9" applyFont="1" applyBorder="1" applyAlignment="1">
      <alignment horizontal="left"/>
    </xf>
    <xf numFmtId="0" fontId="27" fillId="0" borderId="46" xfId="9" applyFont="1" applyBorder="1" applyAlignment="1">
      <alignment horizontal="right"/>
    </xf>
    <xf numFmtId="4" fontId="27" fillId="0" borderId="46" xfId="9" applyNumberFormat="1" applyFont="1" applyBorder="1"/>
    <xf numFmtId="2" fontId="27" fillId="0" borderId="46" xfId="9" applyNumberFormat="1" applyFont="1" applyBorder="1"/>
    <xf numFmtId="168" fontId="27" fillId="0" borderId="46" xfId="9" applyNumberFormat="1" applyFont="1" applyBorder="1"/>
    <xf numFmtId="0" fontId="27" fillId="0" borderId="32" xfId="9" applyFont="1" applyBorder="1" applyAlignment="1">
      <alignment horizontal="left"/>
    </xf>
    <xf numFmtId="0" fontId="27" fillId="0" borderId="32" xfId="9" applyFont="1" applyBorder="1" applyAlignment="1">
      <alignment horizontal="right"/>
    </xf>
    <xf numFmtId="4" fontId="27" fillId="0" borderId="32" xfId="9" applyNumberFormat="1" applyFont="1" applyBorder="1"/>
    <xf numFmtId="2" fontId="27" fillId="0" borderId="32" xfId="9" applyNumberFormat="1" applyFont="1" applyBorder="1"/>
    <xf numFmtId="168" fontId="27" fillId="0" borderId="32" xfId="9" applyNumberFormat="1" applyFont="1" applyBorder="1"/>
    <xf numFmtId="3" fontId="27" fillId="0" borderId="32" xfId="9" applyNumberFormat="1" applyFont="1" applyBorder="1" applyAlignment="1">
      <alignment horizontal="left"/>
    </xf>
    <xf numFmtId="0" fontId="27" fillId="0" borderId="32" xfId="9" applyFont="1" applyBorder="1"/>
    <xf numFmtId="3" fontId="27" fillId="0" borderId="0" xfId="9" applyNumberFormat="1" applyFont="1" applyAlignment="1">
      <alignment horizontal="left"/>
    </xf>
    <xf numFmtId="4" fontId="27" fillId="0" borderId="0" xfId="9" applyNumberFormat="1" applyFont="1"/>
    <xf numFmtId="3" fontId="27" fillId="0" borderId="33" xfId="9" applyNumberFormat="1" applyFont="1" applyBorder="1" applyAlignment="1">
      <alignment horizontal="left" wrapText="1"/>
    </xf>
    <xf numFmtId="4" fontId="27" fillId="0" borderId="33" xfId="9" applyNumberFormat="1" applyFont="1" applyBorder="1"/>
    <xf numFmtId="2" fontId="27" fillId="0" borderId="33" xfId="9" applyNumberFormat="1" applyFont="1" applyBorder="1"/>
    <xf numFmtId="169" fontId="27" fillId="0" borderId="33" xfId="9" applyNumberFormat="1" applyFont="1" applyBorder="1"/>
    <xf numFmtId="168" fontId="27" fillId="0" borderId="33" xfId="9" applyNumberFormat="1" applyFont="1" applyBorder="1"/>
    <xf numFmtId="0" fontId="27" fillId="0" borderId="0" xfId="9" applyFont="1" applyAlignment="1">
      <alignment wrapText="1"/>
    </xf>
    <xf numFmtId="0" fontId="16" fillId="0" borderId="0" xfId="0" applyFont="1" applyAlignment="1">
      <alignment horizontal="left" vertical="center"/>
    </xf>
    <xf numFmtId="0" fontId="35" fillId="0" borderId="0" xfId="0" applyFont="1" applyProtection="1">
      <protection locked="0"/>
    </xf>
    <xf numFmtId="0" fontId="16" fillId="0" borderId="0" xfId="0" applyFont="1"/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 applyProtection="1">
      <alignment horizontal="centerContinuous"/>
      <protection locked="0"/>
    </xf>
    <xf numFmtId="0" fontId="0" fillId="0" borderId="0" xfId="0" applyFont="1" applyProtection="1">
      <protection locked="0"/>
    </xf>
    <xf numFmtId="43" fontId="9" fillId="0" borderId="0" xfId="1" applyNumberFormat="1" applyFont="1" applyFill="1"/>
    <xf numFmtId="43" fontId="9" fillId="0" borderId="0" xfId="1" applyFont="1" applyFill="1"/>
    <xf numFmtId="0" fontId="9" fillId="0" borderId="0" xfId="0" applyFont="1" applyBorder="1"/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Fill="1"/>
    <xf numFmtId="43" fontId="9" fillId="0" borderId="0" xfId="1" applyFont="1" applyFill="1" applyBorder="1"/>
    <xf numFmtId="9" fontId="9" fillId="0" borderId="0" xfId="0" applyNumberFormat="1" applyFont="1" applyFill="1"/>
    <xf numFmtId="0" fontId="9" fillId="0" borderId="0" xfId="0" applyFont="1" applyFill="1"/>
    <xf numFmtId="10" fontId="9" fillId="0" borderId="0" xfId="0" applyNumberFormat="1" applyFont="1" applyFill="1"/>
    <xf numFmtId="164" fontId="9" fillId="0" borderId="0" xfId="1" applyNumberFormat="1" applyFont="1" applyFill="1"/>
    <xf numFmtId="0" fontId="28" fillId="0" borderId="0" xfId="0" applyFont="1" applyAlignment="1" applyProtection="1">
      <alignment horizontal="right" wrapText="1"/>
      <protection locked="0"/>
    </xf>
    <xf numFmtId="0" fontId="28" fillId="0" borderId="31" xfId="0" applyFont="1" applyFill="1" applyBorder="1" applyAlignment="1">
      <alignment horizontal="left" wrapText="1"/>
    </xf>
    <xf numFmtId="0" fontId="28" fillId="0" borderId="31" xfId="0" quotePrefix="1" applyFont="1" applyFill="1" applyBorder="1" applyAlignment="1">
      <alignment horizontal="left" wrapText="1"/>
    </xf>
    <xf numFmtId="0" fontId="9" fillId="0" borderId="34" xfId="0" applyFont="1" applyFill="1" applyBorder="1" applyProtection="1">
      <protection locked="0"/>
    </xf>
    <xf numFmtId="0" fontId="0" fillId="0" borderId="34" xfId="0" applyFont="1" applyFill="1" applyBorder="1" applyAlignment="1" applyProtection="1">
      <alignment horizontal="left"/>
      <protection locked="0"/>
    </xf>
    <xf numFmtId="0" fontId="9" fillId="0" borderId="0" xfId="0" applyFont="1" applyFill="1" applyAlignment="1">
      <alignment horizontal="left" wrapText="1"/>
    </xf>
    <xf numFmtId="0" fontId="0" fillId="0" borderId="0" xfId="0" applyFont="1" applyFill="1" applyProtection="1">
      <protection locked="0"/>
    </xf>
    <xf numFmtId="0" fontId="0" fillId="0" borderId="34" xfId="0" applyFont="1" applyFill="1" applyBorder="1" applyProtection="1">
      <protection locked="0"/>
    </xf>
    <xf numFmtId="0" fontId="18" fillId="0" borderId="0" xfId="0" applyFont="1"/>
    <xf numFmtId="0" fontId="28" fillId="0" borderId="0" xfId="0" applyFont="1"/>
    <xf numFmtId="0" fontId="36" fillId="12" borderId="11" xfId="0" applyFont="1" applyFill="1" applyBorder="1" applyAlignment="1">
      <alignment horizontal="center"/>
    </xf>
    <xf numFmtId="6" fontId="9" fillId="0" borderId="0" xfId="0" applyNumberFormat="1" applyFont="1"/>
    <xf numFmtId="164" fontId="0" fillId="0" borderId="0" xfId="1" applyNumberFormat="1" applyFont="1"/>
    <xf numFmtId="0" fontId="20" fillId="0" borderId="20" xfId="0" applyFont="1" applyFill="1" applyBorder="1" applyAlignment="1" applyProtection="1">
      <alignment horizontal="left"/>
    </xf>
    <xf numFmtId="0" fontId="31" fillId="0" borderId="10" xfId="0" applyFont="1" applyFill="1" applyBorder="1" applyAlignment="1" applyProtection="1">
      <alignment horizontal="left"/>
    </xf>
    <xf numFmtId="0" fontId="7" fillId="0" borderId="47" xfId="19" applyFont="1" applyBorder="1" applyAlignment="1">
      <alignment horizontal="right"/>
    </xf>
    <xf numFmtId="0" fontId="0" fillId="0" borderId="8" xfId="0" applyFont="1" applyFill="1" applyBorder="1" applyAlignment="1" applyProtection="1">
      <alignment horizontal="left"/>
    </xf>
    <xf numFmtId="165" fontId="0" fillId="0" borderId="9" xfId="2" applyNumberFormat="1" applyFont="1" applyFill="1" applyBorder="1" applyProtection="1"/>
    <xf numFmtId="0" fontId="9" fillId="0" borderId="6" xfId="0" applyFont="1" applyFill="1" applyBorder="1" applyAlignment="1" applyProtection="1">
      <alignment horizontal="left"/>
    </xf>
    <xf numFmtId="165" fontId="0" fillId="0" borderId="7" xfId="0" applyNumberFormat="1" applyFont="1" applyFill="1" applyBorder="1" applyProtection="1"/>
    <xf numFmtId="165" fontId="20" fillId="0" borderId="24" xfId="2" applyNumberFormat="1" applyFont="1" applyFill="1" applyBorder="1" applyProtection="1"/>
    <xf numFmtId="165" fontId="20" fillId="0" borderId="26" xfId="2" applyNumberFormat="1" applyFont="1" applyFill="1" applyBorder="1" applyProtection="1"/>
    <xf numFmtId="165" fontId="20" fillId="0" borderId="5" xfId="2" applyNumberFormat="1" applyFont="1" applyFill="1" applyBorder="1" applyProtection="1"/>
    <xf numFmtId="165" fontId="31" fillId="0" borderId="7" xfId="2" applyNumberFormat="1" applyFont="1" applyFill="1" applyBorder="1" applyProtection="1"/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horizontal="centerContinuous" wrapText="1"/>
    </xf>
    <xf numFmtId="0" fontId="25" fillId="11" borderId="0" xfId="0" applyFont="1" applyFill="1"/>
    <xf numFmtId="0" fontId="25" fillId="11" borderId="0" xfId="0" applyFont="1" applyFill="1" applyAlignment="1">
      <alignment horizontal="right"/>
    </xf>
    <xf numFmtId="43" fontId="10" fillId="13" borderId="31" xfId="1" applyFont="1" applyFill="1" applyBorder="1"/>
    <xf numFmtId="0" fontId="0" fillId="13" borderId="0" xfId="0" applyFont="1" applyFill="1"/>
    <xf numFmtId="0" fontId="9" fillId="13" borderId="0" xfId="0" applyFont="1" applyFill="1"/>
    <xf numFmtId="164" fontId="10" fillId="13" borderId="31" xfId="1" applyNumberFormat="1" applyFont="1" applyFill="1" applyBorder="1"/>
    <xf numFmtId="0" fontId="14" fillId="0" borderId="0" xfId="0" applyFont="1" applyFill="1" applyAlignment="1">
      <alignment horizontal="center"/>
    </xf>
    <xf numFmtId="0" fontId="10" fillId="0" borderId="31" xfId="0" applyFont="1" applyFill="1" applyBorder="1"/>
    <xf numFmtId="43" fontId="10" fillId="0" borderId="31" xfId="1" applyFont="1" applyFill="1" applyBorder="1"/>
    <xf numFmtId="0" fontId="0" fillId="0" borderId="31" xfId="0" applyFont="1" applyFill="1" applyBorder="1"/>
    <xf numFmtId="164" fontId="10" fillId="0" borderId="31" xfId="1" applyNumberFormat="1" applyFont="1" applyFill="1" applyBorder="1"/>
    <xf numFmtId="0" fontId="0" fillId="11" borderId="0" xfId="0" applyFont="1" applyFill="1" applyProtection="1">
      <protection locked="0"/>
    </xf>
    <xf numFmtId="0" fontId="28" fillId="0" borderId="31" xfId="0" quotePrefix="1" applyFont="1" applyFill="1" applyBorder="1" applyAlignment="1">
      <alignment horizontal="left"/>
    </xf>
    <xf numFmtId="0" fontId="39" fillId="0" borderId="0" xfId="0" applyFont="1" applyAlignment="1">
      <alignment horizontal="centerContinuous"/>
    </xf>
    <xf numFmtId="0" fontId="39" fillId="0" borderId="0" xfId="0" applyFont="1" applyProtection="1">
      <protection locked="0"/>
    </xf>
    <xf numFmtId="0" fontId="40" fillId="0" borderId="0" xfId="0" applyFont="1" applyAlignment="1">
      <alignment horizontal="centerContinuous"/>
    </xf>
    <xf numFmtId="0" fontId="39" fillId="0" borderId="0" xfId="0" applyFont="1" applyAlignment="1">
      <alignment horizontal="centerContinuous" wrapText="1"/>
    </xf>
    <xf numFmtId="0" fontId="39" fillId="0" borderId="0" xfId="0" applyFont="1"/>
    <xf numFmtId="0" fontId="39" fillId="0" borderId="0" xfId="0" applyFont="1" applyAlignment="1">
      <alignment horizontal="right" wrapText="1"/>
    </xf>
    <xf numFmtId="0" fontId="41" fillId="11" borderId="0" xfId="0" applyFont="1" applyFill="1"/>
    <xf numFmtId="0" fontId="13" fillId="0" borderId="31" xfId="0" applyFont="1" applyFill="1" applyBorder="1"/>
    <xf numFmtId="0" fontId="0" fillId="0" borderId="31" xfId="0" applyFont="1" applyBorder="1"/>
    <xf numFmtId="43" fontId="1" fillId="0" borderId="0" xfId="1" applyNumberFormat="1" applyFont="1"/>
    <xf numFmtId="43" fontId="1" fillId="13" borderId="0" xfId="1" applyNumberFormat="1" applyFont="1" applyFill="1"/>
    <xf numFmtId="43" fontId="1" fillId="0" borderId="0" xfId="1" applyFont="1"/>
    <xf numFmtId="43" fontId="1" fillId="13" borderId="0" xfId="1" applyFont="1" applyFill="1"/>
    <xf numFmtId="43" fontId="1" fillId="0" borderId="31" xfId="1" applyFont="1" applyBorder="1"/>
    <xf numFmtId="43" fontId="1" fillId="13" borderId="31" xfId="1" applyFont="1" applyFill="1" applyBorder="1"/>
    <xf numFmtId="0" fontId="0" fillId="0" borderId="0" xfId="0" applyFont="1" applyBorder="1"/>
    <xf numFmtId="43" fontId="1" fillId="0" borderId="0" xfId="1" applyFont="1" applyBorder="1"/>
    <xf numFmtId="43" fontId="1" fillId="13" borderId="0" xfId="1" applyFont="1" applyFill="1" applyBorder="1"/>
    <xf numFmtId="9" fontId="1" fillId="0" borderId="0" xfId="0" applyNumberFormat="1" applyFont="1"/>
    <xf numFmtId="9" fontId="1" fillId="13" borderId="0" xfId="0" applyNumberFormat="1" applyFont="1" applyFill="1"/>
    <xf numFmtId="43" fontId="1" fillId="0" borderId="31" xfId="1" applyFont="1" applyFill="1" applyBorder="1"/>
    <xf numFmtId="0" fontId="1" fillId="0" borderId="0" xfId="0" applyFont="1"/>
    <xf numFmtId="0" fontId="1" fillId="13" borderId="0" xfId="0" applyFont="1" applyFill="1"/>
    <xf numFmtId="0" fontId="0" fillId="0" borderId="1" xfId="0" applyFont="1" applyBorder="1"/>
    <xf numFmtId="10" fontId="0" fillId="0" borderId="0" xfId="0" applyNumberFormat="1" applyFont="1"/>
    <xf numFmtId="10" fontId="0" fillId="13" borderId="0" xfId="0" applyNumberFormat="1" applyFont="1" applyFill="1"/>
    <xf numFmtId="0" fontId="14" fillId="0" borderId="31" xfId="0" applyFont="1" applyFill="1" applyBorder="1"/>
    <xf numFmtId="164" fontId="13" fillId="0" borderId="31" xfId="1" applyNumberFormat="1" applyFont="1" applyFill="1" applyBorder="1"/>
    <xf numFmtId="164" fontId="13" fillId="13" borderId="31" xfId="1" applyNumberFormat="1" applyFont="1" applyFill="1" applyBorder="1"/>
    <xf numFmtId="164" fontId="14" fillId="13" borderId="31" xfId="0" applyNumberFormat="1" applyFont="1" applyFill="1" applyBorder="1"/>
    <xf numFmtId="164" fontId="0" fillId="13" borderId="0" xfId="1" applyNumberFormat="1" applyFont="1" applyFill="1"/>
    <xf numFmtId="164" fontId="14" fillId="0" borderId="31" xfId="0" applyNumberFormat="1" applyFont="1" applyFill="1" applyBorder="1"/>
    <xf numFmtId="0" fontId="28" fillId="0" borderId="0" xfId="0" quotePrefix="1" applyFont="1" applyFill="1" applyAlignment="1">
      <alignment horizontal="left" wrapText="1"/>
    </xf>
    <xf numFmtId="0" fontId="28" fillId="0" borderId="0" xfId="0" applyFont="1" applyFill="1" applyAlignment="1">
      <alignment horizontal="left" wrapText="1"/>
    </xf>
    <xf numFmtId="0" fontId="42" fillId="11" borderId="0" xfId="0" applyFont="1" applyFill="1" applyAlignment="1">
      <alignment horizontal="left"/>
    </xf>
    <xf numFmtId="0" fontId="28" fillId="0" borderId="0" xfId="0" quotePrefix="1" applyFont="1" applyFill="1" applyBorder="1" applyAlignment="1">
      <alignment horizontal="left" wrapText="1"/>
    </xf>
    <xf numFmtId="0" fontId="18" fillId="0" borderId="31" xfId="0" applyFont="1" applyFill="1" applyBorder="1"/>
    <xf numFmtId="164" fontId="0" fillId="0" borderId="0" xfId="1" applyNumberFormat="1" applyFont="1" applyBorder="1"/>
    <xf numFmtId="164" fontId="0" fillId="13" borderId="0" xfId="1" applyNumberFormat="1" applyFont="1" applyFill="1" applyBorder="1"/>
    <xf numFmtId="0" fontId="28" fillId="0" borderId="0" xfId="0" applyFont="1" applyFill="1" applyBorder="1" applyAlignment="1">
      <alignment horizontal="left" wrapText="1"/>
    </xf>
    <xf numFmtId="0" fontId="9" fillId="0" borderId="0" xfId="0" applyFont="1" applyFill="1" applyBorder="1" applyProtection="1">
      <protection locked="0"/>
    </xf>
    <xf numFmtId="0" fontId="17" fillId="0" borderId="0" xfId="0" applyFont="1" applyBorder="1" applyAlignment="1" applyProtection="1">
      <alignment horizontal="center"/>
    </xf>
    <xf numFmtId="0" fontId="37" fillId="0" borderId="0" xfId="9" applyFont="1" applyFill="1" applyBorder="1" applyAlignment="1" applyProtection="1">
      <protection locked="0"/>
    </xf>
    <xf numFmtId="4" fontId="37" fillId="0" borderId="0" xfId="9" applyNumberFormat="1" applyFont="1" applyFill="1" applyBorder="1" applyAlignment="1" applyProtection="1">
      <protection locked="0"/>
    </xf>
    <xf numFmtId="0" fontId="44" fillId="14" borderId="18" xfId="6" applyFont="1" applyFill="1" applyBorder="1" applyAlignment="1" applyProtection="1">
      <alignment horizontal="center" wrapText="1"/>
    </xf>
    <xf numFmtId="0" fontId="44" fillId="14" borderId="17" xfId="6" applyFont="1" applyFill="1" applyBorder="1" applyAlignment="1" applyProtection="1">
      <alignment horizontal="center" wrapText="1"/>
    </xf>
    <xf numFmtId="4" fontId="44" fillId="14" borderId="17" xfId="6" applyNumberFormat="1" applyFont="1" applyFill="1" applyBorder="1" applyAlignment="1" applyProtection="1">
      <alignment horizontal="center" wrapText="1"/>
    </xf>
    <xf numFmtId="0" fontId="37" fillId="0" borderId="0" xfId="9" applyFont="1" applyFill="1" applyBorder="1" applyAlignment="1" applyProtection="1">
      <alignment wrapText="1"/>
      <protection locked="0"/>
    </xf>
    <xf numFmtId="0" fontId="45" fillId="0" borderId="0" xfId="9" applyFont="1" applyFill="1" applyBorder="1" applyAlignment="1" applyProtection="1">
      <protection locked="0"/>
    </xf>
    <xf numFmtId="0" fontId="46" fillId="0" borderId="16" xfId="6" applyNumberFormat="1" applyFont="1" applyFill="1" applyBorder="1" applyAlignment="1" applyProtection="1"/>
    <xf numFmtId="0" fontId="46" fillId="0" borderId="14" xfId="6" applyFont="1" applyFill="1" applyBorder="1" applyAlignment="1" applyProtection="1"/>
    <xf numFmtId="4" fontId="26" fillId="0" borderId="14" xfId="9" applyNumberFormat="1" applyFont="1" applyFill="1" applyBorder="1" applyAlignment="1" applyProtection="1"/>
    <xf numFmtId="0" fontId="26" fillId="0" borderId="0" xfId="9" applyFont="1" applyFill="1" applyBorder="1" applyAlignment="1" applyProtection="1">
      <protection locked="0"/>
    </xf>
    <xf numFmtId="0" fontId="46" fillId="4" borderId="15" xfId="6" applyNumberFormat="1" applyFont="1" applyFill="1" applyBorder="1" applyAlignment="1" applyProtection="1"/>
    <xf numFmtId="0" fontId="46" fillId="4" borderId="14" xfId="6" applyFont="1" applyFill="1" applyBorder="1" applyAlignment="1" applyProtection="1"/>
    <xf numFmtId="4" fontId="46" fillId="4" borderId="14" xfId="9" applyNumberFormat="1" applyFont="1" applyFill="1" applyBorder="1" applyAlignment="1" applyProtection="1"/>
    <xf numFmtId="0" fontId="38" fillId="3" borderId="15" xfId="6" applyNumberFormat="1" applyFont="1" applyFill="1" applyBorder="1" applyAlignment="1" applyProtection="1"/>
    <xf numFmtId="0" fontId="38" fillId="3" borderId="14" xfId="6" applyFont="1" applyFill="1" applyBorder="1" applyAlignment="1" applyProtection="1"/>
    <xf numFmtId="0" fontId="26" fillId="0" borderId="0" xfId="9" applyFont="1" applyFill="1" applyBorder="1" applyAlignment="1" applyProtection="1"/>
    <xf numFmtId="4" fontId="26" fillId="0" borderId="0" xfId="9" applyNumberFormat="1" applyFont="1" applyFill="1" applyBorder="1" applyAlignment="1" applyProtection="1">
      <protection locked="0"/>
    </xf>
    <xf numFmtId="166" fontId="26" fillId="0" borderId="0" xfId="3" applyNumberFormat="1" applyFont="1" applyFill="1" applyBorder="1" applyAlignment="1" applyProtection="1">
      <protection locked="0"/>
    </xf>
    <xf numFmtId="0" fontId="38" fillId="3" borderId="0" xfId="6" applyNumberFormat="1" applyFont="1" applyFill="1" applyBorder="1" applyAlignment="1" applyProtection="1"/>
    <xf numFmtId="0" fontId="38" fillId="3" borderId="48" xfId="6" applyFont="1" applyFill="1" applyBorder="1" applyAlignment="1" applyProtection="1"/>
    <xf numFmtId="4" fontId="26" fillId="0" borderId="49" xfId="9" applyNumberFormat="1" applyFont="1" applyFill="1" applyBorder="1" applyAlignment="1" applyProtection="1"/>
    <xf numFmtId="0" fontId="26" fillId="14" borderId="13" xfId="9" applyFont="1" applyFill="1" applyBorder="1" applyAlignment="1" applyProtection="1">
      <alignment horizontal="center"/>
    </xf>
    <xf numFmtId="4" fontId="26" fillId="14" borderId="12" xfId="9" applyNumberFormat="1" applyFont="1" applyFill="1" applyBorder="1" applyAlignment="1" applyProtection="1"/>
    <xf numFmtId="0" fontId="21" fillId="0" borderId="0" xfId="21" applyFont="1"/>
    <xf numFmtId="1" fontId="9" fillId="0" borderId="0" xfId="20" applyNumberFormat="1" applyFont="1"/>
    <xf numFmtId="164" fontId="9" fillId="0" borderId="0" xfId="22" applyNumberFormat="1" applyFont="1" applyFill="1"/>
    <xf numFmtId="0" fontId="26" fillId="0" borderId="0" xfId="35" applyFont="1"/>
    <xf numFmtId="0" fontId="9" fillId="0" borderId="0" xfId="20" applyFont="1"/>
    <xf numFmtId="0" fontId="26" fillId="0" borderId="0" xfId="24" applyFont="1"/>
    <xf numFmtId="1" fontId="26" fillId="0" borderId="0" xfId="23" applyNumberFormat="1" applyFont="1"/>
    <xf numFmtId="168" fontId="26" fillId="0" borderId="0" xfId="23" applyNumberFormat="1" applyFont="1" applyAlignment="1">
      <alignment horizontal="center"/>
    </xf>
    <xf numFmtId="0" fontId="26" fillId="0" borderId="0" xfId="23" applyFont="1"/>
    <xf numFmtId="168" fontId="26" fillId="5" borderId="0" xfId="23" applyNumberFormat="1" applyFont="1" applyFill="1" applyAlignment="1">
      <alignment horizontal="center"/>
    </xf>
    <xf numFmtId="168" fontId="26" fillId="6" borderId="0" xfId="23" applyNumberFormat="1" applyFont="1" applyFill="1" applyAlignment="1">
      <alignment horizontal="center"/>
    </xf>
    <xf numFmtId="168" fontId="26" fillId="7" borderId="0" xfId="23" applyNumberFormat="1" applyFont="1" applyFill="1" applyAlignment="1">
      <alignment horizontal="center"/>
    </xf>
    <xf numFmtId="0" fontId="9" fillId="11" borderId="11" xfId="25" applyFont="1" applyFill="1" applyBorder="1" applyAlignment="1">
      <alignment horizontal="center" wrapText="1"/>
    </xf>
    <xf numFmtId="1" fontId="9" fillId="11" borderId="11" xfId="25" applyNumberFormat="1" applyFont="1" applyFill="1" applyBorder="1" applyAlignment="1">
      <alignment horizontal="center" wrapText="1"/>
    </xf>
    <xf numFmtId="42" fontId="9" fillId="11" borderId="11" xfId="25" applyNumberFormat="1" applyFont="1" applyFill="1" applyBorder="1" applyAlignment="1">
      <alignment horizontal="center" wrapText="1"/>
    </xf>
    <xf numFmtId="168" fontId="26" fillId="8" borderId="43" xfId="15" applyNumberFormat="1" applyFont="1" applyFill="1" applyBorder="1" applyAlignment="1">
      <alignment horizontal="center"/>
    </xf>
    <xf numFmtId="168" fontId="26" fillId="2" borderId="43" xfId="15" applyNumberFormat="1" applyFont="1" applyFill="1" applyBorder="1" applyAlignment="1">
      <alignment horizontal="center"/>
    </xf>
    <xf numFmtId="168" fontId="26" fillId="9" borderId="43" xfId="15" applyNumberFormat="1" applyFont="1" applyFill="1" applyBorder="1" applyAlignment="1">
      <alignment horizontal="center"/>
    </xf>
    <xf numFmtId="164" fontId="26" fillId="0" borderId="0" xfId="38" applyNumberFormat="1" applyFont="1"/>
    <xf numFmtId="164" fontId="26" fillId="0" borderId="0" xfId="35" applyNumberFormat="1" applyFont="1"/>
    <xf numFmtId="0" fontId="27" fillId="11" borderId="50" xfId="9" applyFont="1" applyFill="1" applyBorder="1" applyAlignment="1">
      <alignment horizontal="center" wrapText="1"/>
    </xf>
    <xf numFmtId="0" fontId="27" fillId="11" borderId="50" xfId="9" applyFont="1" applyFill="1" applyBorder="1" applyAlignment="1">
      <alignment horizontal="left" wrapText="1"/>
    </xf>
    <xf numFmtId="2" fontId="27" fillId="11" borderId="50" xfId="9" applyNumberFormat="1" applyFont="1" applyFill="1" applyBorder="1" applyAlignment="1">
      <alignment horizontal="center" wrapText="1"/>
    </xf>
    <xf numFmtId="0" fontId="27" fillId="11" borderId="50" xfId="9" applyFont="1" applyFill="1" applyBorder="1" applyAlignment="1">
      <alignment horizontal="center"/>
    </xf>
    <xf numFmtId="168" fontId="27" fillId="11" borderId="50" xfId="9" applyNumberFormat="1" applyFont="1" applyFill="1" applyBorder="1" applyAlignment="1">
      <alignment horizontal="center" wrapText="1"/>
    </xf>
    <xf numFmtId="4" fontId="48" fillId="0" borderId="0" xfId="9" applyNumberFormat="1" applyFont="1"/>
    <xf numFmtId="4" fontId="48" fillId="0" borderId="33" xfId="9" applyNumberFormat="1" applyFont="1" applyBorder="1"/>
    <xf numFmtId="2" fontId="27" fillId="0" borderId="0" xfId="9" applyNumberFormat="1" applyFont="1" applyBorder="1"/>
    <xf numFmtId="168" fontId="27" fillId="0" borderId="0" xfId="9" applyNumberFormat="1" applyFont="1" applyFill="1"/>
    <xf numFmtId="0" fontId="26" fillId="0" borderId="0" xfId="0" applyFont="1"/>
    <xf numFmtId="0" fontId="37" fillId="0" borderId="0" xfId="0" applyFont="1"/>
    <xf numFmtId="0" fontId="49" fillId="0" borderId="0" xfId="6" applyFont="1" applyAlignment="1">
      <alignment horizontal="center"/>
    </xf>
    <xf numFmtId="0" fontId="36" fillId="12" borderId="11" xfId="0" applyFont="1" applyFill="1" applyBorder="1"/>
    <xf numFmtId="0" fontId="26" fillId="12" borderId="11" xfId="0" applyFont="1" applyFill="1" applyBorder="1" applyAlignment="1">
      <alignment horizontal="center" wrapText="1"/>
    </xf>
    <xf numFmtId="0" fontId="36" fillId="12" borderId="11" xfId="0" applyFont="1" applyFill="1" applyBorder="1" applyAlignment="1">
      <alignment horizontal="center" wrapText="1"/>
    </xf>
    <xf numFmtId="0" fontId="38" fillId="0" borderId="11" xfId="39" applyFont="1" applyBorder="1"/>
    <xf numFmtId="0" fontId="38" fillId="0" borderId="11" xfId="39" applyFont="1" applyBorder="1" applyAlignment="1">
      <alignment horizontal="right"/>
    </xf>
    <xf numFmtId="6" fontId="26" fillId="0" borderId="11" xfId="39" applyNumberFormat="1" applyFont="1" applyBorder="1" applyAlignment="1">
      <alignment horizontal="right"/>
    </xf>
    <xf numFmtId="6" fontId="38" fillId="0" borderId="11" xfId="39" applyNumberFormat="1" applyFont="1" applyBorder="1" applyAlignment="1">
      <alignment horizontal="right"/>
    </xf>
    <xf numFmtId="6" fontId="26" fillId="0" borderId="11" xfId="39" applyNumberFormat="1" applyFont="1" applyBorder="1" applyAlignment="1">
      <alignment horizontal="left"/>
    </xf>
    <xf numFmtId="6" fontId="26" fillId="0" borderId="32" xfId="0" applyNumberFormat="1" applyFont="1" applyBorder="1" applyAlignment="1">
      <alignment horizontal="left"/>
    </xf>
    <xf numFmtId="6" fontId="26" fillId="0" borderId="32" xfId="0" applyNumberFormat="1" applyFont="1" applyBorder="1" applyAlignment="1">
      <alignment horizontal="left" wrapText="1"/>
    </xf>
    <xf numFmtId="6" fontId="26" fillId="0" borderId="32" xfId="0" applyNumberFormat="1" applyFont="1" applyBorder="1"/>
    <xf numFmtId="6" fontId="26" fillId="0" borderId="11" xfId="39" applyNumberFormat="1" applyFont="1" applyBorder="1" applyAlignment="1">
      <alignment horizontal="left" wrapText="1"/>
    </xf>
    <xf numFmtId="6" fontId="26" fillId="0" borderId="0" xfId="0" applyNumberFormat="1" applyFont="1"/>
    <xf numFmtId="164" fontId="9" fillId="0" borderId="0" xfId="1" applyNumberFormat="1" applyFont="1"/>
    <xf numFmtId="166" fontId="13" fillId="13" borderId="44" xfId="3" applyNumberFormat="1" applyFont="1" applyFill="1" applyBorder="1" applyAlignment="1" applyProtection="1">
      <alignment horizontal="center"/>
      <protection locked="0"/>
    </xf>
    <xf numFmtId="0" fontId="45" fillId="13" borderId="25" xfId="0" applyFont="1" applyFill="1" applyBorder="1" applyAlignment="1" applyProtection="1">
      <alignment horizontal="center" vertical="center"/>
    </xf>
    <xf numFmtId="43" fontId="0" fillId="11" borderId="44" xfId="1" applyNumberFormat="1" applyFont="1" applyFill="1" applyBorder="1" applyProtection="1">
      <protection locked="0"/>
    </xf>
    <xf numFmtId="164" fontId="0" fillId="11" borderId="44" xfId="1" applyNumberFormat="1" applyFont="1" applyFill="1" applyBorder="1" applyProtection="1">
      <protection locked="0"/>
    </xf>
    <xf numFmtId="0" fontId="16" fillId="11" borderId="27" xfId="0" applyFont="1" applyFill="1" applyBorder="1" applyAlignment="1" applyProtection="1">
      <alignment horizontal="left"/>
    </xf>
    <xf numFmtId="165" fontId="18" fillId="11" borderId="28" xfId="0" applyNumberFormat="1" applyFont="1" applyFill="1" applyBorder="1" applyProtection="1"/>
    <xf numFmtId="0" fontId="16" fillId="11" borderId="10" xfId="0" applyFont="1" applyFill="1" applyBorder="1" applyAlignment="1" applyProtection="1">
      <alignment horizontal="left"/>
    </xf>
    <xf numFmtId="165" fontId="18" fillId="11" borderId="7" xfId="0" applyNumberFormat="1" applyFont="1" applyFill="1" applyBorder="1" applyProtection="1"/>
    <xf numFmtId="0" fontId="43" fillId="11" borderId="10" xfId="0" applyFont="1" applyFill="1" applyBorder="1" applyAlignment="1" applyProtection="1">
      <alignment horizontal="left"/>
    </xf>
    <xf numFmtId="165" fontId="51" fillId="11" borderId="7" xfId="2" applyNumberFormat="1" applyFont="1" applyFill="1" applyBorder="1" applyProtection="1"/>
    <xf numFmtId="0" fontId="14" fillId="0" borderId="0" xfId="0" applyFont="1" applyFill="1" applyBorder="1" applyAlignment="1" applyProtection="1">
      <alignment horizontal="center"/>
    </xf>
  </cellXfs>
  <cellStyles count="40">
    <cellStyle name="Comma" xfId="1" builtinId="3"/>
    <cellStyle name="Comma 10" xfId="37" xr:uid="{8221DF66-90B0-4756-8F03-F8581E7D919E}"/>
    <cellStyle name="Comma 2" xfId="5" xr:uid="{00000000-0005-0000-0000-000001000000}"/>
    <cellStyle name="Comma 3" xfId="38" xr:uid="{976B8064-858B-494B-9D61-ED6624F60270}"/>
    <cellStyle name="Comma 6" xfId="14" xr:uid="{E435278F-E555-4916-809C-57481507D0CE}"/>
    <cellStyle name="Comma 6 2" xfId="22" xr:uid="{9C128017-4ED2-4C50-A6B2-E24170AAF4FF}"/>
    <cellStyle name="Comma 6 2 2" xfId="29" xr:uid="{E1DFBE6D-E195-4280-A232-1D6052AAB6AC}"/>
    <cellStyle name="Comma 7" xfId="18" xr:uid="{650513D1-B94C-4E47-8A53-CED1991A4774}"/>
    <cellStyle name="Currency" xfId="2" builtinId="4"/>
    <cellStyle name="Normal" xfId="0" builtinId="0"/>
    <cellStyle name="Normal 12" xfId="15" xr:uid="{766C52FC-3736-4DE1-9BB6-2D35FD26C555}"/>
    <cellStyle name="Normal 12 2" xfId="23" xr:uid="{A5B64834-D9DB-4754-BD9B-AB7EEF92C685}"/>
    <cellStyle name="Normal 12 2 2" xfId="31" xr:uid="{3B8940F0-D430-4B96-AE52-75AECF648E71}"/>
    <cellStyle name="Normal 13" xfId="17" xr:uid="{0801DBE4-A579-4A45-B4A5-97FFEE98AF92}"/>
    <cellStyle name="Normal 13 2" xfId="25" xr:uid="{0D042D23-C35B-4D9A-B3CA-9E9A5468194A}"/>
    <cellStyle name="Normal 13 2 2" xfId="32" xr:uid="{2A6AD0E5-E391-46E6-849E-E9B4B26EAEDD}"/>
    <cellStyle name="Normal 14" xfId="10" xr:uid="{1862F376-B224-4B40-B226-00B6638D105C}"/>
    <cellStyle name="Normal 14 3" xfId="26" xr:uid="{62F66593-EF97-4CEA-9A9E-CD070974B5DB}"/>
    <cellStyle name="Normal 15" xfId="16" xr:uid="{76957F20-AD03-49C5-8A5C-DDDB4B89D756}"/>
    <cellStyle name="Normal 15 2" xfId="24" xr:uid="{18A11CAE-6E9A-4570-B1CA-0F6EB4E533FA}"/>
    <cellStyle name="Normal 15 2 2" xfId="30" xr:uid="{FDC6D488-0570-4567-8A2F-0B9F6A083C45}"/>
    <cellStyle name="Normal 16" xfId="12" xr:uid="{0E427BD6-91BC-46B5-8058-27AF60525807}"/>
    <cellStyle name="Normal 16 2" xfId="20" xr:uid="{FEF65497-3D87-49A9-A9F0-C76D3A114F22}"/>
    <cellStyle name="Normal 16 2 2" xfId="28" xr:uid="{2BFC8762-DB62-4094-85D6-B3A9CA64F47C}"/>
    <cellStyle name="Normal 17" xfId="13" xr:uid="{BC756CA4-82C3-4E3E-B9CB-E430BA870A0A}"/>
    <cellStyle name="Normal 17 2" xfId="21" xr:uid="{0AD76884-0FBE-485C-8692-C4569E8211F8}"/>
    <cellStyle name="Normal 17 2 2" xfId="27" xr:uid="{91C1B1E7-4D13-487C-AC31-A12CDC15EF31}"/>
    <cellStyle name="Normal 18" xfId="33" xr:uid="{F87AD110-32D9-4538-A2FC-A23C5C56967D}"/>
    <cellStyle name="Normal 18 2" xfId="34" xr:uid="{C9E52403-3CA6-4651-9CBE-0FD5B1884B86}"/>
    <cellStyle name="Normal 2" xfId="4" xr:uid="{00000000-0005-0000-0000-000005000000}"/>
    <cellStyle name="Normal 2 2" xfId="7" xr:uid="{00000000-0005-0000-0000-000001000000}"/>
    <cellStyle name="Normal 2 3" xfId="9" xr:uid="{35A212B9-6B32-4522-A434-5B62762F88C4}"/>
    <cellStyle name="Normal 20" xfId="36" xr:uid="{8BAC0691-2862-494E-83AD-3FD0457BE31E}"/>
    <cellStyle name="Normal 3" xfId="8" xr:uid="{3649E2E0-5C72-4D5D-99B2-CC378650735E}"/>
    <cellStyle name="Normal 4" xfId="35" xr:uid="{6DC2122E-79A8-415B-8C5C-454854DA7992}"/>
    <cellStyle name="Normal_DistrictList" xfId="19" xr:uid="{849AF075-A001-40D6-A835-76809FF52193}"/>
    <cellStyle name="Normal_Sheet1" xfId="6" xr:uid="{00000000-0005-0000-0000-000002000000}"/>
    <cellStyle name="Normal_Sheet1_1 2" xfId="39" xr:uid="{66AA98EB-0277-4E72-8917-C5AADC47FD3E}"/>
    <cellStyle name="Percent" xfId="3" builtinId="5"/>
    <cellStyle name="Percent 2" xfId="11" xr:uid="{815D0620-3029-4AB2-B22C-548012BE0EB0}"/>
  </cellStyles>
  <dxfs count="0"/>
  <tableStyles count="0" defaultTableStyle="TableStyleMedium2" defaultPivotStyle="PivotStyleLight16"/>
  <colors>
    <mruColors>
      <color rgb="FFC7B784"/>
      <color rgb="FFC7C784"/>
      <color rgb="FF802629"/>
      <color rgb="FFC0504D"/>
      <color rgb="FFFFFFCC"/>
      <color rgb="FFFCD6B6"/>
      <color rgb="FFB4E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332312</xdr:colOff>
      <xdr:row>5</xdr:row>
      <xdr:rowOff>206376</xdr:rowOff>
    </xdr:from>
    <xdr:to>
      <xdr:col>4</xdr:col>
      <xdr:colOff>1100667</xdr:colOff>
      <xdr:row>6</xdr:row>
      <xdr:rowOff>201084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45812" y="1539876"/>
          <a:ext cx="3160188" cy="216958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estimated count of students: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 SAFE Fall </a:t>
          </a:r>
          <a:r>
            <a:rPr lang="en-US" sz="1000" b="0" u="sng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2024</a:t>
          </a:r>
        </a:p>
      </xdr:txBody>
    </xdr:sp>
    <xdr:clientData/>
  </xdr:twoCellAnchor>
  <xdr:twoCellAnchor>
    <xdr:from>
      <xdr:col>2</xdr:col>
      <xdr:colOff>31746</xdr:colOff>
      <xdr:row>6</xdr:row>
      <xdr:rowOff>32282</xdr:rowOff>
    </xdr:from>
    <xdr:to>
      <xdr:col>2</xdr:col>
      <xdr:colOff>319348</xdr:colOff>
      <xdr:row>6</xdr:row>
      <xdr:rowOff>152400</xdr:rowOff>
    </xdr:to>
    <xdr:sp macro="" textlink="">
      <xdr:nvSpPr>
        <xdr:cNvPr id="11" name="Down Arrow 9" descr="Left Arrow">
          <a:extLst>
            <a:ext uri="{FF2B5EF4-FFF2-40B4-BE49-F238E27FC236}">
              <a16:creationId xmlns:a16="http://schemas.microsoft.com/office/drawing/2014/main" id="{0A65E463-1A7F-4D36-8DB7-BF7193A12AD8}"/>
            </a:ext>
          </a:extLst>
        </xdr:cNvPr>
        <xdr:cNvSpPr/>
      </xdr:nvSpPr>
      <xdr:spPr>
        <a:xfrm rot="5400000">
          <a:off x="6142908" y="1076300"/>
          <a:ext cx="120118" cy="287602"/>
        </a:xfrm>
        <a:prstGeom prst="downArrow">
          <a:avLst/>
        </a:prstGeom>
        <a:pattFill prst="pct5">
          <a:fgClr>
            <a:srgbClr val="C7B784"/>
          </a:fgClr>
          <a:bgClr>
            <a:srgbClr val="C7B784"/>
          </a:bgClr>
        </a:patt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338668</xdr:colOff>
      <xdr:row>36</xdr:row>
      <xdr:rowOff>29097</xdr:rowOff>
    </xdr:from>
    <xdr:to>
      <xdr:col>6</xdr:col>
      <xdr:colOff>1278466</xdr:colOff>
      <xdr:row>38</xdr:row>
      <xdr:rowOff>169331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E3E07DA2-187C-4CAC-BB78-3C2589A08D3D}"/>
            </a:ext>
          </a:extLst>
        </xdr:cNvPr>
        <xdr:cNvSpPr txBox="1"/>
      </xdr:nvSpPr>
      <xdr:spPr>
        <a:xfrm>
          <a:off x="10049935" y="7310430"/>
          <a:ext cx="2336798" cy="580501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projected taxable valuation growth percentage for Pay 2025.</a:t>
          </a:r>
          <a:b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</a:br>
          <a:r>
            <a:rPr lang="en-US" sz="1000" b="0" u="none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Consider consulting with County Auditor.</a:t>
          </a:r>
          <a:endParaRPr lang="en-US" sz="1000" b="0" baseline="0">
            <a:solidFill>
              <a:schemeClr val="tx1"/>
            </a:solidFill>
            <a:latin typeface="+mn-lt"/>
          </a:endParaRPr>
        </a:p>
        <a:p>
          <a:endParaRPr lang="en-US" sz="1100" b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4</xdr:col>
      <xdr:colOff>656162</xdr:colOff>
      <xdr:row>0</xdr:row>
      <xdr:rowOff>6356</xdr:rowOff>
    </xdr:from>
    <xdr:to>
      <xdr:col>6</xdr:col>
      <xdr:colOff>973666</xdr:colOff>
      <xdr:row>3</xdr:row>
      <xdr:rowOff>131677</xdr:rowOff>
    </xdr:to>
    <xdr:pic>
      <xdr:nvPicPr>
        <xdr:cNvPr id="17" name="Picture 16" descr="South Dakota Department of Education">
          <a:extLst>
            <a:ext uri="{FF2B5EF4-FFF2-40B4-BE49-F238E27FC236}">
              <a16:creationId xmlns:a16="http://schemas.microsoft.com/office/drawing/2014/main" id="{BBE51A79-9E30-47CE-AC85-984C7BE9F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65162" y="6356"/>
          <a:ext cx="2933705" cy="606228"/>
        </a:xfrm>
        <a:prstGeom prst="rect">
          <a:avLst/>
        </a:prstGeom>
      </xdr:spPr>
    </xdr:pic>
    <xdr:clientData/>
  </xdr:twoCellAnchor>
  <xdr:twoCellAnchor>
    <xdr:from>
      <xdr:col>2</xdr:col>
      <xdr:colOff>31749</xdr:colOff>
      <xdr:row>10</xdr:row>
      <xdr:rowOff>42332</xdr:rowOff>
    </xdr:from>
    <xdr:to>
      <xdr:col>2</xdr:col>
      <xdr:colOff>319351</xdr:colOff>
      <xdr:row>10</xdr:row>
      <xdr:rowOff>144780</xdr:rowOff>
    </xdr:to>
    <xdr:sp macro="" textlink="">
      <xdr:nvSpPr>
        <xdr:cNvPr id="14" name="Down Arrow 9" descr="Left Arrow">
          <a:extLst>
            <a:ext uri="{FF2B5EF4-FFF2-40B4-BE49-F238E27FC236}">
              <a16:creationId xmlns:a16="http://schemas.microsoft.com/office/drawing/2014/main" id="{2A882743-1F80-493A-8F8A-9248AB6B2B03}"/>
            </a:ext>
          </a:extLst>
        </xdr:cNvPr>
        <xdr:cNvSpPr/>
      </xdr:nvSpPr>
      <xdr:spPr>
        <a:xfrm rot="5400000">
          <a:off x="6151746" y="1961435"/>
          <a:ext cx="102448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317500</xdr:colOff>
      <xdr:row>10</xdr:row>
      <xdr:rowOff>10584</xdr:rowOff>
    </xdr:from>
    <xdr:to>
      <xdr:col>5</xdr:col>
      <xdr:colOff>592667</xdr:colOff>
      <xdr:row>11</xdr:row>
      <xdr:rowOff>0</xdr:rowOff>
    </xdr:to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214AD7F-3986-4E2F-9EFA-AC7840601FC1}"/>
            </a:ext>
          </a:extLst>
        </xdr:cNvPr>
        <xdr:cNvSpPr txBox="1"/>
      </xdr:nvSpPr>
      <xdr:spPr>
        <a:xfrm>
          <a:off x="6731000" y="1799167"/>
          <a:ext cx="3862917" cy="222250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Applies only to </a:t>
          </a:r>
          <a:r>
            <a:rPr lang="en-US" sz="1000" b="1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Plankinton</a:t>
          </a:r>
          <a:r>
            <a:rPr lang="en-US" sz="1000" b="1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&amp; Parkston 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- </a:t>
          </a:r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SDCL 13-13-10.1 (2C)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5</xdr:col>
      <xdr:colOff>42332</xdr:colOff>
      <xdr:row>37</xdr:row>
      <xdr:rowOff>21166</xdr:rowOff>
    </xdr:from>
    <xdr:to>
      <xdr:col>5</xdr:col>
      <xdr:colOff>329934</xdr:colOff>
      <xdr:row>37</xdr:row>
      <xdr:rowOff>189966</xdr:rowOff>
    </xdr:to>
    <xdr:sp macro="" textlink="">
      <xdr:nvSpPr>
        <xdr:cNvPr id="22" name="Down Arrow 9" descr="Left Arrow">
          <a:extLst>
            <a:ext uri="{FF2B5EF4-FFF2-40B4-BE49-F238E27FC236}">
              <a16:creationId xmlns:a16="http://schemas.microsoft.com/office/drawing/2014/main" id="{132033CE-93AD-4646-8A31-1CB1058ED27C}"/>
            </a:ext>
          </a:extLst>
        </xdr:cNvPr>
        <xdr:cNvSpPr/>
      </xdr:nvSpPr>
      <xdr:spPr>
        <a:xfrm rot="5400000">
          <a:off x="10102983" y="7602932"/>
          <a:ext cx="16880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306917</xdr:colOff>
      <xdr:row>14</xdr:row>
      <xdr:rowOff>105834</xdr:rowOff>
    </xdr:from>
    <xdr:to>
      <xdr:col>5</xdr:col>
      <xdr:colOff>603250</xdr:colOff>
      <xdr:row>16</xdr:row>
      <xdr:rowOff>137583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EF6F4ED-D520-4EEF-AF27-5AC91602339C}"/>
            </a:ext>
          </a:extLst>
        </xdr:cNvPr>
        <xdr:cNvSpPr txBox="1"/>
      </xdr:nvSpPr>
      <xdr:spPr>
        <a:xfrm>
          <a:off x="6720417" y="2709334"/>
          <a:ext cx="3884083" cy="486832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projected count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of LEP students scoring (composite) less than 4.0 on Language Acquisition Assessment (taken 2/2024)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2</xdr:col>
      <xdr:colOff>317495</xdr:colOff>
      <xdr:row>7</xdr:row>
      <xdr:rowOff>0</xdr:rowOff>
    </xdr:from>
    <xdr:to>
      <xdr:col>6</xdr:col>
      <xdr:colOff>158750</xdr:colOff>
      <xdr:row>9</xdr:row>
      <xdr:rowOff>21167</xdr:rowOff>
    </xdr:to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8AD7D25-DD85-4139-8A10-4E9E0B40C444}"/>
            </a:ext>
          </a:extLst>
        </xdr:cNvPr>
        <xdr:cNvSpPr txBox="1"/>
      </xdr:nvSpPr>
      <xdr:spPr>
        <a:xfrm>
          <a:off x="6730995" y="1788583"/>
          <a:ext cx="4783672" cy="486834"/>
        </a:xfrm>
        <a:prstGeom prst="rect">
          <a:avLst/>
        </a:prstGeom>
        <a:solidFill>
          <a:srgbClr val="C7B784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en-US" sz="1000" b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Enter count</a:t>
          </a:r>
          <a:r>
            <a:rPr lang="en-US" sz="1000" b="0" baseline="0">
              <a:solidFill>
                <a:schemeClr val="tx1"/>
              </a:solidFill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of Alternative Instruction (home school) students that participated in HS interscholastic activities sanctioned SDHSAA (2023-2024 school year)</a:t>
          </a:r>
          <a:endParaRPr lang="en-US" sz="1000" b="0" u="sng" baseline="0">
            <a:solidFill>
              <a:schemeClr val="tx1"/>
            </a:solidFill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xdr:txBody>
    </xdr:sp>
    <xdr:clientData/>
  </xdr:twoCellAnchor>
  <xdr:twoCellAnchor>
    <xdr:from>
      <xdr:col>2</xdr:col>
      <xdr:colOff>22860</xdr:colOff>
      <xdr:row>7</xdr:row>
      <xdr:rowOff>45720</xdr:rowOff>
    </xdr:from>
    <xdr:to>
      <xdr:col>2</xdr:col>
      <xdr:colOff>310462</xdr:colOff>
      <xdr:row>7</xdr:row>
      <xdr:rowOff>175260</xdr:rowOff>
    </xdr:to>
    <xdr:sp macro="" textlink="">
      <xdr:nvSpPr>
        <xdr:cNvPr id="7" name="Down Arrow 9" descr="Left Arrow">
          <a:extLst>
            <a:ext uri="{FF2B5EF4-FFF2-40B4-BE49-F238E27FC236}">
              <a16:creationId xmlns:a16="http://schemas.microsoft.com/office/drawing/2014/main" id="{4A7033FC-9B65-41A2-A72D-47BB8ED21690}"/>
            </a:ext>
          </a:extLst>
        </xdr:cNvPr>
        <xdr:cNvSpPr/>
      </xdr:nvSpPr>
      <xdr:spPr>
        <a:xfrm rot="5400000">
          <a:off x="6129311" y="1315429"/>
          <a:ext cx="12954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22860</xdr:colOff>
      <xdr:row>15</xdr:row>
      <xdr:rowOff>22860</xdr:rowOff>
    </xdr:from>
    <xdr:to>
      <xdr:col>2</xdr:col>
      <xdr:colOff>310462</xdr:colOff>
      <xdr:row>15</xdr:row>
      <xdr:rowOff>152400</xdr:rowOff>
    </xdr:to>
    <xdr:sp macro="" textlink="">
      <xdr:nvSpPr>
        <xdr:cNvPr id="8" name="Down Arrow 9" descr="Left Arrow">
          <a:extLst>
            <a:ext uri="{FF2B5EF4-FFF2-40B4-BE49-F238E27FC236}">
              <a16:creationId xmlns:a16="http://schemas.microsoft.com/office/drawing/2014/main" id="{0FB79B28-5146-4326-91C3-027B2490D2BA}"/>
            </a:ext>
          </a:extLst>
        </xdr:cNvPr>
        <xdr:cNvSpPr/>
      </xdr:nvSpPr>
      <xdr:spPr>
        <a:xfrm rot="5400000">
          <a:off x="6129311" y="2915629"/>
          <a:ext cx="129540" cy="287602"/>
        </a:xfrm>
        <a:prstGeom prst="downArrow">
          <a:avLst/>
        </a:prstGeom>
        <a:solidFill>
          <a:srgbClr val="C7B784"/>
        </a:solidFill>
        <a:ln>
          <a:solidFill>
            <a:srgbClr val="C7B78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152400</xdr:colOff>
      <xdr:row>0</xdr:row>
      <xdr:rowOff>0</xdr:rowOff>
    </xdr:from>
    <xdr:ext cx="1956404" cy="433959"/>
    <xdr:pic>
      <xdr:nvPicPr>
        <xdr:cNvPr id="2" name="Picture 1" descr="South Dakota Department of Education">
          <a:extLst>
            <a:ext uri="{FF2B5EF4-FFF2-40B4-BE49-F238E27FC236}">
              <a16:creationId xmlns:a16="http://schemas.microsoft.com/office/drawing/2014/main" id="{193072A1-D0FB-4138-94E0-929820571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92440" y="0"/>
          <a:ext cx="1956404" cy="43395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7B784"/>
  </sheetPr>
  <dimension ref="A1:G51"/>
  <sheetViews>
    <sheetView showGridLines="0" tabSelected="1" zoomScaleNormal="100" zoomScalePageLayoutView="90" workbookViewId="0">
      <pane ySplit="4" topLeftCell="A5" activePane="bottomLeft" state="frozen"/>
      <selection pane="bottomLeft" activeCell="A4" sqref="A4"/>
    </sheetView>
  </sheetViews>
  <sheetFormatPr defaultColWidth="8.88671875" defaultRowHeight="13.8" x14ac:dyDescent="0.3"/>
  <cols>
    <col min="1" max="1" width="68" style="14" customWidth="1"/>
    <col min="2" max="2" width="19.88671875" style="16" customWidth="1"/>
    <col min="3" max="3" width="17.6640625" style="14" customWidth="1"/>
    <col min="4" max="4" width="17.6640625" style="23" customWidth="1"/>
    <col min="5" max="5" width="17.6640625" style="14" customWidth="1"/>
    <col min="6" max="6" width="20.33203125" style="14" customWidth="1"/>
    <col min="7" max="7" width="19.6640625" style="14" customWidth="1"/>
    <col min="8" max="8" width="1.5546875" style="14" customWidth="1"/>
    <col min="9" max="16384" width="8.88671875" style="14"/>
  </cols>
  <sheetData>
    <row r="1" spans="1:7" s="8" customFormat="1" ht="22.95" customHeight="1" x14ac:dyDescent="0.3">
      <c r="A1" s="74" t="s">
        <v>492</v>
      </c>
      <c r="B1" s="7"/>
      <c r="C1" s="7"/>
    </row>
    <row r="2" spans="1:7" s="8" customFormat="1" ht="12" customHeight="1" x14ac:dyDescent="0.3">
      <c r="A2" s="9" t="s">
        <v>493</v>
      </c>
      <c r="B2" s="10"/>
      <c r="C2" s="11"/>
      <c r="D2" s="12"/>
    </row>
    <row r="3" spans="1:7" s="8" customFormat="1" ht="3.75" customHeight="1" thickBot="1" x14ac:dyDescent="0.35">
      <c r="A3" s="11"/>
      <c r="B3" s="13"/>
      <c r="C3" s="11"/>
      <c r="D3" s="12"/>
    </row>
    <row r="4" spans="1:7" s="64" customFormat="1" ht="27.6" customHeight="1" thickTop="1" thickBot="1" x14ac:dyDescent="0.65">
      <c r="A4" s="75" t="s">
        <v>154</v>
      </c>
      <c r="C4" s="65">
        <f>INDEX(DistrictList!$A$2:$A$149,MATCH($A$4,DistrictList!$B$2:$B$149,0),0)</f>
        <v>6001</v>
      </c>
    </row>
    <row r="5" spans="1:7" ht="6" customHeight="1" thickTop="1" x14ac:dyDescent="0.3">
      <c r="B5" s="14"/>
      <c r="D5" s="14"/>
      <c r="G5" s="14" t="s">
        <v>151</v>
      </c>
    </row>
    <row r="6" spans="1:7" ht="16.95" customHeight="1" thickBot="1" x14ac:dyDescent="0.35">
      <c r="A6" s="67" t="s">
        <v>4</v>
      </c>
      <c r="B6" s="15"/>
      <c r="D6" s="14"/>
    </row>
    <row r="7" spans="1:7" ht="17.399999999999999" customHeight="1" thickBot="1" x14ac:dyDescent="0.35">
      <c r="A7" s="68" t="s">
        <v>465</v>
      </c>
      <c r="B7" s="286"/>
      <c r="D7" s="14"/>
      <c r="G7" s="16"/>
    </row>
    <row r="8" spans="1:7" ht="17.399999999999999" customHeight="1" thickBot="1" x14ac:dyDescent="0.35">
      <c r="A8" s="68" t="s">
        <v>417</v>
      </c>
      <c r="B8" s="286"/>
      <c r="D8" s="14"/>
      <c r="G8" s="16"/>
    </row>
    <row r="9" spans="1:7" ht="17.399999999999999" customHeight="1" x14ac:dyDescent="0.3">
      <c r="A9" s="68" t="s">
        <v>418</v>
      </c>
      <c r="B9" s="17">
        <v>0.1</v>
      </c>
      <c r="D9" s="14"/>
      <c r="G9" s="16"/>
    </row>
    <row r="10" spans="1:7" ht="17.399999999999999" customHeight="1" thickBot="1" x14ac:dyDescent="0.35">
      <c r="A10" s="68" t="s">
        <v>409</v>
      </c>
      <c r="B10" s="18">
        <f>IF(B8=0,0,B8*B9)</f>
        <v>0</v>
      </c>
      <c r="D10" s="14"/>
      <c r="G10" s="16"/>
    </row>
    <row r="11" spans="1:7" ht="17.399999999999999" customHeight="1" thickBot="1" x14ac:dyDescent="0.35">
      <c r="A11" s="69" t="s">
        <v>399</v>
      </c>
      <c r="B11" s="286"/>
      <c r="D11" s="14"/>
      <c r="G11" s="16"/>
    </row>
    <row r="12" spans="1:7" ht="17.399999999999999" customHeight="1" x14ac:dyDescent="0.3">
      <c r="A12" s="70" t="s">
        <v>419</v>
      </c>
      <c r="B12" s="19">
        <f>IF(($B$7+$B$10)&lt;200,12,IF(($B$7+$B$10)&gt;600,15,((($B$7+$B$10)-$B$11)*0.0075)+10.5))</f>
        <v>12</v>
      </c>
      <c r="D12" s="14"/>
      <c r="G12" s="16"/>
    </row>
    <row r="13" spans="1:7" ht="17.399999999999999" customHeight="1" x14ac:dyDescent="0.3">
      <c r="A13" s="70" t="s">
        <v>5</v>
      </c>
      <c r="B13" s="20">
        <f>(B7+B10)/B12</f>
        <v>0</v>
      </c>
      <c r="D13" s="14"/>
    </row>
    <row r="14" spans="1:7" ht="6" customHeight="1" x14ac:dyDescent="0.3">
      <c r="A14" s="80"/>
      <c r="B14" s="21"/>
      <c r="D14" s="14"/>
    </row>
    <row r="15" spans="1:7" ht="17.399999999999999" customHeight="1" thickBot="1" x14ac:dyDescent="0.35">
      <c r="A15" s="67" t="s">
        <v>1</v>
      </c>
      <c r="B15" s="22"/>
    </row>
    <row r="16" spans="1:7" ht="17.399999999999999" customHeight="1" thickBot="1" x14ac:dyDescent="0.35">
      <c r="A16" s="68" t="s">
        <v>420</v>
      </c>
      <c r="B16" s="287"/>
    </row>
    <row r="17" spans="1:7" ht="17.399999999999999" customHeight="1" x14ac:dyDescent="0.3">
      <c r="A17" s="70" t="s">
        <v>421</v>
      </c>
      <c r="B17" s="24">
        <v>0.25</v>
      </c>
    </row>
    <row r="18" spans="1:7" ht="17.399999999999999" customHeight="1" x14ac:dyDescent="0.3">
      <c r="A18" s="68" t="s">
        <v>2</v>
      </c>
      <c r="B18" s="18">
        <f>IF(B16=0,0,B16*B17)</f>
        <v>0</v>
      </c>
      <c r="G18" s="25"/>
    </row>
    <row r="19" spans="1:7" ht="17.399999999999999" customHeight="1" thickBot="1" x14ac:dyDescent="0.35">
      <c r="A19" s="71" t="s">
        <v>385</v>
      </c>
      <c r="B19" s="26">
        <f>B18/B12</f>
        <v>0</v>
      </c>
    </row>
    <row r="20" spans="1:7" ht="6" customHeight="1" thickTop="1" x14ac:dyDescent="0.3">
      <c r="A20" s="81"/>
      <c r="B20" s="27"/>
      <c r="D20" s="14"/>
    </row>
    <row r="21" spans="1:7" ht="17.399999999999999" customHeight="1" x14ac:dyDescent="0.3">
      <c r="A21" s="73" t="s">
        <v>325</v>
      </c>
      <c r="B21" s="28">
        <f>B13+B19</f>
        <v>0</v>
      </c>
      <c r="D21" s="14"/>
    </row>
    <row r="22" spans="1:7" ht="6" customHeight="1" x14ac:dyDescent="0.3">
      <c r="A22" s="81"/>
      <c r="B22" s="27"/>
      <c r="D22" s="14"/>
    </row>
    <row r="23" spans="1:7" ht="17.399999999999999" customHeight="1" x14ac:dyDescent="0.3">
      <c r="A23" s="72" t="s">
        <v>6</v>
      </c>
      <c r="B23" s="29"/>
      <c r="D23" s="14"/>
    </row>
    <row r="24" spans="1:7" ht="17.399999999999999" customHeight="1" x14ac:dyDescent="0.3">
      <c r="A24" s="68" t="s">
        <v>10</v>
      </c>
      <c r="B24" s="30">
        <v>62045.62</v>
      </c>
      <c r="D24" s="14"/>
      <c r="F24" s="31"/>
    </row>
    <row r="25" spans="1:7" ht="17.399999999999999" customHeight="1" x14ac:dyDescent="0.3">
      <c r="A25" s="70" t="s">
        <v>422</v>
      </c>
      <c r="B25" s="32">
        <v>0.28999999999999998</v>
      </c>
      <c r="D25" s="14"/>
    </row>
    <row r="26" spans="1:7" ht="17.399999999999999" customHeight="1" x14ac:dyDescent="0.3">
      <c r="A26" s="68" t="s">
        <v>7</v>
      </c>
      <c r="B26" s="33">
        <f>B24*(1+B25)</f>
        <v>80038.849800000011</v>
      </c>
    </row>
    <row r="27" spans="1:7" ht="17.399999999999999" customHeight="1" thickBot="1" x14ac:dyDescent="0.35">
      <c r="A27" s="149" t="s">
        <v>8</v>
      </c>
      <c r="B27" s="150">
        <f>B26*B21</f>
        <v>0</v>
      </c>
      <c r="C27" s="34"/>
      <c r="D27" s="294"/>
      <c r="E27" s="294"/>
      <c r="F27" s="294"/>
      <c r="G27" s="294"/>
    </row>
    <row r="28" spans="1:7" ht="6" customHeight="1" thickTop="1" x14ac:dyDescent="0.3">
      <c r="A28" s="81"/>
      <c r="B28" s="27"/>
      <c r="C28" s="35"/>
      <c r="D28" s="34"/>
      <c r="E28" s="34"/>
      <c r="F28" s="34"/>
      <c r="G28" s="34"/>
    </row>
    <row r="29" spans="1:7" ht="17.399999999999999" customHeight="1" x14ac:dyDescent="0.3">
      <c r="A29" s="72" t="s">
        <v>3</v>
      </c>
      <c r="B29" s="29"/>
      <c r="C29" s="36"/>
      <c r="D29" s="37"/>
      <c r="E29" s="37"/>
      <c r="F29" s="37"/>
      <c r="G29" s="37"/>
    </row>
    <row r="30" spans="1:7" ht="17.399999999999999" customHeight="1" x14ac:dyDescent="0.3">
      <c r="A30" s="68" t="s">
        <v>423</v>
      </c>
      <c r="B30" s="38">
        <v>0.38779999999999998</v>
      </c>
      <c r="C30" s="39"/>
      <c r="D30" s="40"/>
      <c r="E30" s="40"/>
      <c r="F30" s="40"/>
      <c r="G30" s="41"/>
    </row>
    <row r="31" spans="1:7" ht="17.399999999999999" customHeight="1" x14ac:dyDescent="0.3">
      <c r="A31" s="151" t="s">
        <v>0</v>
      </c>
      <c r="B31" s="152">
        <f>B27*B30</f>
        <v>0</v>
      </c>
      <c r="C31" s="36"/>
      <c r="D31" s="37"/>
      <c r="E31" s="37"/>
      <c r="F31" s="37"/>
      <c r="G31" s="37"/>
    </row>
    <row r="32" spans="1:7" ht="6" customHeight="1" thickBot="1" x14ac:dyDescent="0.35">
      <c r="A32" s="82"/>
      <c r="B32" s="42"/>
      <c r="C32" s="36"/>
      <c r="D32" s="43"/>
      <c r="E32" s="43"/>
      <c r="F32" s="43"/>
      <c r="G32" s="36"/>
    </row>
    <row r="33" spans="1:7" ht="22.2" customHeight="1" thickTop="1" thickBot="1" x14ac:dyDescent="0.45">
      <c r="A33" s="288" t="s">
        <v>326</v>
      </c>
      <c r="B33" s="289">
        <f>B27+B31</f>
        <v>0</v>
      </c>
      <c r="C33" s="36"/>
      <c r="D33" s="37"/>
      <c r="E33" s="37"/>
      <c r="F33" s="37"/>
      <c r="G33" s="44"/>
    </row>
    <row r="34" spans="1:7" s="8" customFormat="1" ht="6" customHeight="1" thickTop="1" thickBot="1" x14ac:dyDescent="0.35">
      <c r="A34" s="213"/>
      <c r="B34" s="213"/>
    </row>
    <row r="35" spans="1:7" s="8" customFormat="1" ht="17.399999999999999" customHeight="1" thickTop="1" x14ac:dyDescent="0.3">
      <c r="A35" s="76" t="s">
        <v>466</v>
      </c>
      <c r="B35" s="45"/>
      <c r="C35" s="45"/>
      <c r="D35" s="45"/>
      <c r="E35" s="46"/>
    </row>
    <row r="36" spans="1:7" s="8" customFormat="1" ht="15" customHeight="1" x14ac:dyDescent="0.3">
      <c r="A36" s="47"/>
      <c r="B36" s="48" t="s">
        <v>311</v>
      </c>
      <c r="C36" s="48" t="s">
        <v>327</v>
      </c>
      <c r="D36" s="48" t="s">
        <v>312</v>
      </c>
      <c r="E36" s="49" t="s">
        <v>324</v>
      </c>
    </row>
    <row r="37" spans="1:7" s="8" customFormat="1" ht="17.399999999999999" customHeight="1" thickBot="1" x14ac:dyDescent="0.35">
      <c r="A37" s="77" t="s">
        <v>467</v>
      </c>
      <c r="B37" s="50">
        <f>INDEX('Pay 2024'!$T$6:$T$153,MATCH($C$4,'Pay 2024'!$B$6:$B$153,0))</f>
        <v>383582982</v>
      </c>
      <c r="C37" s="50">
        <f>INDEX('Pay 2024'!$U$6:$U$153,MATCH($C$4,'Pay 2024'!$B$6:$B$153,0))</f>
        <v>1788538121</v>
      </c>
      <c r="D37" s="50">
        <f>INDEX('Pay 2024'!$V$6:$V$153,MATCH($C$4,'Pay 2024'!$B$6:$B$153,0))</f>
        <v>976910687</v>
      </c>
      <c r="E37" s="51">
        <f>SUM(B37:D37)</f>
        <v>3149031790</v>
      </c>
    </row>
    <row r="38" spans="1:7" s="8" customFormat="1" ht="17.399999999999999" customHeight="1" thickBot="1" x14ac:dyDescent="0.35">
      <c r="A38" s="78" t="s">
        <v>474</v>
      </c>
      <c r="B38" s="284"/>
      <c r="C38" s="284"/>
      <c r="D38" s="284"/>
      <c r="E38" s="52"/>
    </row>
    <row r="39" spans="1:7" s="8" customFormat="1" ht="17.399999999999999" customHeight="1" x14ac:dyDescent="0.3">
      <c r="A39" s="77" t="s">
        <v>468</v>
      </c>
      <c r="B39" s="53">
        <f>ROUND(B37*(1+B38),0)</f>
        <v>383582982</v>
      </c>
      <c r="C39" s="53">
        <f t="shared" ref="C39:D39" si="0">ROUND(C37*(1+C38),0)</f>
        <v>1788538121</v>
      </c>
      <c r="D39" s="53">
        <f t="shared" si="0"/>
        <v>976910687</v>
      </c>
      <c r="E39" s="54">
        <f>SUM(B39:D39)</f>
        <v>3149031790</v>
      </c>
    </row>
    <row r="40" spans="1:7" s="8" customFormat="1" ht="17.399999999999999" customHeight="1" x14ac:dyDescent="0.3">
      <c r="A40" s="77" t="s">
        <v>469</v>
      </c>
      <c r="B40" s="55">
        <v>1.1970000000000001</v>
      </c>
      <c r="C40" s="55">
        <v>2.6789999999999998</v>
      </c>
      <c r="D40" s="55">
        <v>5.5439999999999996</v>
      </c>
      <c r="E40" s="56"/>
    </row>
    <row r="41" spans="1:7" s="8" customFormat="1" ht="17.399999999999999" customHeight="1" thickBot="1" x14ac:dyDescent="0.35">
      <c r="A41" s="79" t="s">
        <v>470</v>
      </c>
      <c r="B41" s="57">
        <f>ROUND(((B39/1000)*B40)/2,0)</f>
        <v>229574</v>
      </c>
      <c r="C41" s="57">
        <f t="shared" ref="C41:D41" si="1">ROUND(((C39/1000)*C40)/2,0)</f>
        <v>2395747</v>
      </c>
      <c r="D41" s="57">
        <f t="shared" si="1"/>
        <v>2707996</v>
      </c>
      <c r="E41" s="58">
        <f>SUM(B41:D41)</f>
        <v>5333317</v>
      </c>
    </row>
    <row r="42" spans="1:7" s="8" customFormat="1" ht="12" customHeight="1" thickTop="1" x14ac:dyDescent="0.3">
      <c r="A42" s="59"/>
      <c r="D42" s="60" t="s">
        <v>328</v>
      </c>
    </row>
    <row r="43" spans="1:7" s="8" customFormat="1" ht="12" customHeight="1" x14ac:dyDescent="0.3">
      <c r="A43" s="59"/>
      <c r="D43" s="60" t="s">
        <v>389</v>
      </c>
    </row>
    <row r="44" spans="1:7" ht="22.2" customHeight="1" x14ac:dyDescent="0.4">
      <c r="A44" s="290" t="s">
        <v>411</v>
      </c>
      <c r="B44" s="291">
        <f>B33</f>
        <v>0</v>
      </c>
      <c r="D44" s="14"/>
    </row>
    <row r="45" spans="1:7" ht="15" customHeight="1" thickBot="1" x14ac:dyDescent="0.35">
      <c r="A45" s="61"/>
      <c r="B45" s="285" t="s">
        <v>9</v>
      </c>
      <c r="D45" s="14"/>
    </row>
    <row r="46" spans="1:7" ht="17.399999999999999" customHeight="1" x14ac:dyDescent="0.35">
      <c r="A46" s="62" t="s">
        <v>471</v>
      </c>
      <c r="B46" s="153">
        <f>INDEX('Pay 2024'!$W$6:$W$153,MATCH($C$4,'Pay 2024'!$B$6:$B$153,0))</f>
        <v>5880763</v>
      </c>
      <c r="D46" s="14"/>
    </row>
    <row r="47" spans="1:7" ht="17.399999999999999" customHeight="1" thickBot="1" x14ac:dyDescent="0.4">
      <c r="A47" s="63" t="s">
        <v>472</v>
      </c>
      <c r="B47" s="154">
        <f>E41</f>
        <v>5333317</v>
      </c>
      <c r="D47" s="14"/>
    </row>
    <row r="48" spans="1:7" ht="17.399999999999999" customHeight="1" x14ac:dyDescent="0.35">
      <c r="A48" s="146" t="s">
        <v>345</v>
      </c>
      <c r="B48" s="155">
        <f>B46+B47</f>
        <v>11214080</v>
      </c>
    </row>
    <row r="49" spans="1:2" ht="17.399999999999999" customHeight="1" x14ac:dyDescent="0.35">
      <c r="A49" s="147" t="s">
        <v>410</v>
      </c>
      <c r="B49" s="156">
        <f>INDEX(OtherRevenueLocalEffortFY25!$L$5:$L$152,MATCH($C$4,OtherRevenueLocalEffortFY25!$B$5:$B$152,0))</f>
        <v>1381919.67</v>
      </c>
    </row>
    <row r="50" spans="1:2" ht="22.2" customHeight="1" x14ac:dyDescent="0.4">
      <c r="A50" s="292" t="s">
        <v>473</v>
      </c>
      <c r="B50" s="293">
        <f>IF((B44-B48-B49)&lt;0,0,B44-B48-B49)</f>
        <v>0</v>
      </c>
    </row>
    <row r="51" spans="1:2" hidden="1" x14ac:dyDescent="0.3"/>
  </sheetData>
  <sheetProtection algorithmName="SHA-512" hashValue="BpTee9xSlJ9qltMZmOBm4DA6fOY5hSaobFbBdzqTXQlD0t0A/VesNb2eW0H9lYfYg6SFBVMa+a4IC+CIF+8EDw==" saltValue="MwLDKy11wat2LIBbqUIBsg==" spinCount="100000" sheet="1" objects="1" scenarios="1"/>
  <mergeCells count="1">
    <mergeCell ref="D27:G27"/>
  </mergeCells>
  <pageMargins left="0.45" right="0" top="0.3" bottom="0.17" header="0.3" footer="0.17"/>
  <pageSetup scale="7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88AA279-8C7C-4918-9A8F-E9172823EDBD}">
          <x14:formula1>
            <xm:f>DistrictList!$B$2:$B$149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4D936-8D91-4E74-A46B-B8E2E290A5C6}">
  <sheetPr codeName="Sheet2"/>
  <dimension ref="A1:J30"/>
  <sheetViews>
    <sheetView zoomScaleNormal="100" workbookViewId="0">
      <pane ySplit="3" topLeftCell="A4" activePane="bottomLeft" state="frozen"/>
      <selection pane="bottomLeft" activeCell="A3" sqref="A3"/>
    </sheetView>
  </sheetViews>
  <sheetFormatPr defaultColWidth="9.109375" defaultRowHeight="14.4" x14ac:dyDescent="0.3"/>
  <cols>
    <col min="1" max="1" width="2.6640625" style="122" customWidth="1"/>
    <col min="2" max="2" width="41.6640625" style="122" customWidth="1"/>
    <col min="3" max="5" width="14.5546875" style="122" customWidth="1"/>
    <col min="6" max="6" width="1.5546875" style="122" customWidth="1"/>
    <col min="7" max="7" width="34.33203125" style="133" customWidth="1"/>
    <col min="8" max="8" width="6.6640625" style="122" customWidth="1"/>
    <col min="9" max="16384" width="9.109375" style="122"/>
  </cols>
  <sheetData>
    <row r="1" spans="1:10" s="117" customFormat="1" ht="30.75" customHeight="1" x14ac:dyDescent="0.4">
      <c r="A1" s="116" t="s">
        <v>408</v>
      </c>
      <c r="B1" s="172"/>
      <c r="C1" s="172"/>
      <c r="D1" s="172"/>
      <c r="E1" s="173"/>
      <c r="F1" s="174"/>
      <c r="G1" s="175"/>
      <c r="H1" s="173"/>
    </row>
    <row r="2" spans="1:10" s="117" customFormat="1" ht="21" x14ac:dyDescent="0.4">
      <c r="A2" s="118" t="str">
        <f>'GSA Estimate Calculator'!A4</f>
        <v>Aberdeen 06-1</v>
      </c>
      <c r="B2" s="176"/>
      <c r="C2" s="174">
        <f>'GSA Estimate Calculator'!C4</f>
        <v>6001</v>
      </c>
      <c r="D2" s="176"/>
      <c r="E2" s="176"/>
      <c r="F2" s="176"/>
      <c r="G2" s="177"/>
      <c r="H2" s="173"/>
    </row>
    <row r="3" spans="1:10" ht="15.6" x14ac:dyDescent="0.3">
      <c r="A3" s="119"/>
      <c r="B3" s="119"/>
      <c r="C3" s="157" t="s">
        <v>435</v>
      </c>
      <c r="D3" s="157" t="s">
        <v>464</v>
      </c>
      <c r="E3" s="165" t="s">
        <v>348</v>
      </c>
      <c r="F3" s="120"/>
      <c r="G3" s="158" t="s">
        <v>347</v>
      </c>
      <c r="H3" s="121"/>
    </row>
    <row r="4" spans="1:10" ht="15.6" x14ac:dyDescent="0.3">
      <c r="A4" s="178" t="s">
        <v>349</v>
      </c>
      <c r="B4" s="159"/>
      <c r="C4" s="159"/>
      <c r="D4" s="159"/>
      <c r="E4" s="159"/>
      <c r="F4" s="159"/>
      <c r="G4" s="160"/>
      <c r="H4" s="160"/>
    </row>
    <row r="5" spans="1:10" s="14" customFormat="1" ht="15.75" customHeight="1" x14ac:dyDescent="0.3">
      <c r="A5" s="6"/>
      <c r="B5" s="119" t="s">
        <v>350</v>
      </c>
      <c r="C5" s="181">
        <f>INDEX('FY2024'!$E$6:$E$153,MATCH($C$2,'FY2024'!$B$6:$B$153,0))</f>
        <v>4292.53</v>
      </c>
      <c r="D5" s="181">
        <f>'GSA Estimate Calculator'!B7+'GSA Estimate Calculator'!B10</f>
        <v>0</v>
      </c>
      <c r="E5" s="182">
        <f>D5-C5</f>
        <v>-4292.53</v>
      </c>
      <c r="F5" s="123"/>
      <c r="G5" s="138"/>
      <c r="H5" s="8"/>
    </row>
    <row r="6" spans="1:10" s="14" customFormat="1" ht="15.75" customHeight="1" x14ac:dyDescent="0.3">
      <c r="A6" s="6"/>
      <c r="B6" s="119" t="s">
        <v>351</v>
      </c>
      <c r="C6" s="183">
        <f>INDEX('FY2024'!$H$6:$H$153,MATCH($C$2,'FY2024'!$B$6:$B$153,0))</f>
        <v>15</v>
      </c>
      <c r="D6" s="183">
        <f>'GSA Estimate Calculator'!B12</f>
        <v>12</v>
      </c>
      <c r="E6" s="184"/>
      <c r="F6" s="124"/>
      <c r="G6" s="138"/>
      <c r="H6" s="8"/>
    </row>
    <row r="7" spans="1:10" s="14" customFormat="1" ht="15.75" customHeight="1" x14ac:dyDescent="0.3">
      <c r="A7" s="125"/>
      <c r="B7" s="180" t="s">
        <v>380</v>
      </c>
      <c r="C7" s="185">
        <f>IFERROR(C5/C6,0)</f>
        <v>286.16866666666664</v>
      </c>
      <c r="D7" s="185">
        <f>+D5/D6</f>
        <v>0</v>
      </c>
      <c r="E7" s="186">
        <f>D7-C7</f>
        <v>-286.16866666666664</v>
      </c>
      <c r="F7" s="134"/>
      <c r="G7" s="171" t="s">
        <v>379</v>
      </c>
      <c r="H7" s="136"/>
    </row>
    <row r="8" spans="1:10" s="14" customFormat="1" ht="15.75" customHeight="1" x14ac:dyDescent="0.3">
      <c r="A8" s="6"/>
      <c r="B8" s="119" t="s">
        <v>352</v>
      </c>
      <c r="C8" s="183">
        <f>INDEX('FY2024'!$G$6:$G$153,MATCH($C$2,'FY2024'!$B$6:$B$153,0))</f>
        <v>177</v>
      </c>
      <c r="D8" s="183">
        <f>'GSA Estimate Calculator'!B16</f>
        <v>0</v>
      </c>
      <c r="E8" s="184">
        <f>D8-C8</f>
        <v>-177</v>
      </c>
      <c r="F8" s="124"/>
      <c r="G8" s="204"/>
      <c r="H8" s="8"/>
    </row>
    <row r="9" spans="1:10" s="14" customFormat="1" ht="15.75" customHeight="1" x14ac:dyDescent="0.3">
      <c r="A9" s="6"/>
      <c r="B9" s="119" t="s">
        <v>353</v>
      </c>
      <c r="C9" s="183">
        <f>INDEX('FY2024'!$J$6:$J$153,MATCH($C$2,'FY2024'!$B$6:$B$153,0))</f>
        <v>2.95</v>
      </c>
      <c r="D9" s="183">
        <f>'GSA Estimate Calculator'!B19</f>
        <v>0</v>
      </c>
      <c r="E9" s="184"/>
      <c r="F9" s="124"/>
      <c r="G9" s="205"/>
      <c r="H9" s="8"/>
    </row>
    <row r="10" spans="1:10" ht="24" customHeight="1" x14ac:dyDescent="0.3">
      <c r="A10" s="179" t="s">
        <v>381</v>
      </c>
      <c r="B10" s="166"/>
      <c r="C10" s="167">
        <f>C7+C9</f>
        <v>289.11866666666663</v>
      </c>
      <c r="D10" s="167">
        <f>+D7+D9</f>
        <v>0</v>
      </c>
      <c r="E10" s="161">
        <f>D10-C10</f>
        <v>-289.11866666666663</v>
      </c>
      <c r="F10" s="134"/>
      <c r="G10" s="171" t="s">
        <v>397</v>
      </c>
      <c r="H10" s="137"/>
      <c r="I10" s="126"/>
      <c r="J10" s="126"/>
    </row>
    <row r="11" spans="1:10" ht="12" customHeight="1" x14ac:dyDescent="0.3">
      <c r="A11" s="119"/>
      <c r="B11" s="119"/>
      <c r="C11" s="119"/>
      <c r="D11" s="119"/>
      <c r="E11" s="162"/>
      <c r="F11" s="127"/>
      <c r="G11" s="205"/>
      <c r="H11" s="139"/>
    </row>
    <row r="12" spans="1:10" ht="15.6" x14ac:dyDescent="0.3">
      <c r="A12" s="178" t="s">
        <v>357</v>
      </c>
      <c r="B12" s="159"/>
      <c r="C12" s="159"/>
      <c r="D12" s="159"/>
      <c r="E12" s="159"/>
      <c r="F12" s="159"/>
      <c r="G12" s="206"/>
      <c r="H12" s="170"/>
    </row>
    <row r="13" spans="1:10" s="14" customFormat="1" ht="15.75" customHeight="1" x14ac:dyDescent="0.3">
      <c r="A13" s="187"/>
      <c r="B13" s="187" t="s">
        <v>354</v>
      </c>
      <c r="C13" s="188">
        <f>'FY2024'!L4</f>
        <v>59659.25</v>
      </c>
      <c r="D13" s="188">
        <f>'GSA Estimate Calculator'!B24</f>
        <v>62045.62</v>
      </c>
      <c r="E13" s="189"/>
      <c r="F13" s="128"/>
      <c r="G13" s="207"/>
      <c r="H13" s="8"/>
    </row>
    <row r="14" spans="1:10" s="14" customFormat="1" ht="15.75" customHeight="1" x14ac:dyDescent="0.3">
      <c r="A14" s="119"/>
      <c r="B14" s="119" t="s">
        <v>355</v>
      </c>
      <c r="C14" s="190">
        <v>0.28999999999999998</v>
      </c>
      <c r="D14" s="190">
        <v>0.28999999999999998</v>
      </c>
      <c r="E14" s="191"/>
      <c r="F14" s="129"/>
      <c r="G14" s="205"/>
      <c r="H14" s="8"/>
    </row>
    <row r="15" spans="1:10" s="14" customFormat="1" ht="15.75" customHeight="1" x14ac:dyDescent="0.3">
      <c r="A15" s="168" t="s">
        <v>390</v>
      </c>
      <c r="B15" s="168"/>
      <c r="C15" s="192">
        <f>+C13*(1+C14)</f>
        <v>76960.432499999995</v>
      </c>
      <c r="D15" s="192">
        <f>D13*(1+D14)</f>
        <v>80038.849800000011</v>
      </c>
      <c r="E15" s="186">
        <f>D15-C15</f>
        <v>3078.4173000000155</v>
      </c>
      <c r="F15" s="134"/>
      <c r="G15" s="171" t="s">
        <v>388</v>
      </c>
      <c r="H15" s="136"/>
    </row>
    <row r="16" spans="1:10" s="14" customFormat="1" ht="15.75" customHeight="1" x14ac:dyDescent="0.3">
      <c r="A16" s="119"/>
      <c r="B16" s="119" t="s">
        <v>382</v>
      </c>
      <c r="C16" s="193"/>
      <c r="D16" s="193"/>
      <c r="E16" s="194"/>
      <c r="F16" s="130"/>
      <c r="G16" s="205"/>
      <c r="H16" s="8"/>
    </row>
    <row r="17" spans="1:8" ht="24" customHeight="1" x14ac:dyDescent="0.3">
      <c r="A17" s="179" t="s">
        <v>356</v>
      </c>
      <c r="B17" s="168"/>
      <c r="C17" s="169">
        <f>+C15*C10</f>
        <v>22250697.630489994</v>
      </c>
      <c r="D17" s="169">
        <f>+D15*D10</f>
        <v>0</v>
      </c>
      <c r="E17" s="164">
        <f>D17-C17</f>
        <v>-22250697.630489994</v>
      </c>
      <c r="F17" s="134"/>
      <c r="G17" s="171" t="s">
        <v>398</v>
      </c>
      <c r="H17" s="140"/>
    </row>
    <row r="18" spans="1:8" ht="12" customHeight="1" x14ac:dyDescent="0.3">
      <c r="A18" s="119"/>
      <c r="B18" s="119"/>
      <c r="C18" s="119"/>
      <c r="D18" s="119"/>
      <c r="E18" s="162"/>
      <c r="F18" s="127"/>
      <c r="G18" s="205"/>
      <c r="H18" s="139"/>
    </row>
    <row r="19" spans="1:8" ht="15.6" x14ac:dyDescent="0.3">
      <c r="A19" s="178" t="s">
        <v>360</v>
      </c>
      <c r="B19" s="159"/>
      <c r="C19" s="159"/>
      <c r="D19" s="159"/>
      <c r="E19" s="159"/>
      <c r="F19" s="159"/>
      <c r="G19" s="206"/>
      <c r="H19" s="170"/>
    </row>
    <row r="20" spans="1:8" s="14" customFormat="1" ht="15.75" customHeight="1" x14ac:dyDescent="0.3">
      <c r="A20" s="195"/>
      <c r="B20" s="119" t="s">
        <v>358</v>
      </c>
      <c r="C20" s="196">
        <v>0.38779999999999998</v>
      </c>
      <c r="D20" s="196">
        <f>'GSA Estimate Calculator'!B30</f>
        <v>0.38779999999999998</v>
      </c>
      <c r="E20" s="197"/>
      <c r="F20" s="131"/>
      <c r="G20" s="205"/>
      <c r="H20" s="8"/>
    </row>
    <row r="21" spans="1:8" ht="24" customHeight="1" x14ac:dyDescent="0.3">
      <c r="A21" s="179" t="s">
        <v>359</v>
      </c>
      <c r="B21" s="198"/>
      <c r="C21" s="199">
        <f>+C17*C20</f>
        <v>8628820.5411040187</v>
      </c>
      <c r="D21" s="199">
        <f>+D17*D20</f>
        <v>0</v>
      </c>
      <c r="E21" s="200">
        <f>D21-C21</f>
        <v>-8628820.5411040187</v>
      </c>
      <c r="F21" s="134"/>
      <c r="G21" s="171" t="s">
        <v>383</v>
      </c>
      <c r="H21" s="140"/>
    </row>
    <row r="22" spans="1:8" ht="12" customHeight="1" x14ac:dyDescent="0.3">
      <c r="A22" s="119"/>
      <c r="B22" s="119"/>
      <c r="C22" s="119"/>
      <c r="D22" s="119"/>
      <c r="E22" s="162"/>
      <c r="F22" s="127"/>
      <c r="G22" s="205"/>
      <c r="H22" s="139"/>
    </row>
    <row r="23" spans="1:8" ht="24" customHeight="1" x14ac:dyDescent="0.35">
      <c r="A23" s="208" t="s">
        <v>386</v>
      </c>
      <c r="B23" s="198"/>
      <c r="C23" s="199">
        <f>C17+C21</f>
        <v>30879518.171594013</v>
      </c>
      <c r="D23" s="199">
        <f>D17+D21</f>
        <v>0</v>
      </c>
      <c r="E23" s="201">
        <f>D23-C23</f>
        <v>-30879518.171594013</v>
      </c>
      <c r="F23" s="134"/>
      <c r="G23" s="171" t="s">
        <v>384</v>
      </c>
      <c r="H23" s="140"/>
    </row>
    <row r="24" spans="1:8" ht="12" customHeight="1" x14ac:dyDescent="0.3">
      <c r="A24" s="119"/>
      <c r="B24" s="119"/>
      <c r="C24" s="119"/>
      <c r="D24" s="119"/>
      <c r="E24" s="162"/>
      <c r="F24" s="127"/>
      <c r="G24" s="205"/>
      <c r="H24" s="139"/>
    </row>
    <row r="25" spans="1:8" ht="15.6" x14ac:dyDescent="0.3">
      <c r="A25" s="178" t="s">
        <v>361</v>
      </c>
      <c r="B25" s="159"/>
      <c r="C25" s="159"/>
      <c r="D25" s="159"/>
      <c r="E25" s="159"/>
      <c r="F25" s="159"/>
      <c r="G25" s="206"/>
      <c r="H25" s="170"/>
    </row>
    <row r="26" spans="1:8" s="14" customFormat="1" ht="16.5" customHeight="1" x14ac:dyDescent="0.3">
      <c r="A26" s="119" t="s">
        <v>362</v>
      </c>
      <c r="B26" s="119"/>
      <c r="C26" s="119"/>
      <c r="D26" s="119"/>
      <c r="E26" s="162"/>
      <c r="F26" s="130"/>
      <c r="G26" s="205"/>
      <c r="H26" s="8"/>
    </row>
    <row r="27" spans="1:8" s="14" customFormat="1" ht="16.5" customHeight="1" x14ac:dyDescent="0.3">
      <c r="A27" s="119"/>
      <c r="B27" s="119" t="s">
        <v>363</v>
      </c>
      <c r="C27" s="145">
        <f>INDEX('FY2024'!$S$6:$S$153,MATCH($C$2,'FY2024'!$B$6:$B$153,0))</f>
        <v>11322805</v>
      </c>
      <c r="D27" s="145">
        <f>'GSA Estimate Calculator'!B46+'GSA Estimate Calculator'!B47</f>
        <v>11214080</v>
      </c>
      <c r="E27" s="202">
        <f>D27-C27</f>
        <v>-108725</v>
      </c>
      <c r="F27" s="132"/>
      <c r="G27" s="205"/>
      <c r="H27" s="8"/>
    </row>
    <row r="28" spans="1:8" s="14" customFormat="1" ht="16.5" customHeight="1" x14ac:dyDescent="0.3">
      <c r="A28" s="187"/>
      <c r="B28" s="187" t="s">
        <v>447</v>
      </c>
      <c r="C28" s="209">
        <f>INDEX('FY2024'!$T$6:$T$153,MATCH($C$2,'FY2024'!$B$6:$B$153,0))</f>
        <v>1577782.48</v>
      </c>
      <c r="D28" s="209">
        <f>'GSA Estimate Calculator'!B49</f>
        <v>1381919.67</v>
      </c>
      <c r="E28" s="210">
        <f>D28-C28</f>
        <v>-195862.81000000006</v>
      </c>
      <c r="F28" s="211"/>
      <c r="G28" s="211" t="s">
        <v>448</v>
      </c>
      <c r="H28" s="212"/>
    </row>
    <row r="29" spans="1:8" s="14" customFormat="1" ht="12" customHeight="1" x14ac:dyDescent="0.3">
      <c r="A29" s="6"/>
      <c r="B29" s="6"/>
      <c r="C29" s="6"/>
      <c r="D29" s="6"/>
      <c r="E29" s="163"/>
      <c r="F29" s="130"/>
      <c r="G29" s="205"/>
      <c r="H29" s="8"/>
    </row>
    <row r="30" spans="1:8" ht="26.25" customHeight="1" x14ac:dyDescent="0.35">
      <c r="A30" s="208" t="s">
        <v>387</v>
      </c>
      <c r="B30" s="198"/>
      <c r="C30" s="203">
        <f>IF((C23-C27-C28)&lt;0,0,ROUND(C23-C27-C28,0))</f>
        <v>17978931</v>
      </c>
      <c r="D30" s="203">
        <f>ROUND(D23-D27-D28,0)</f>
        <v>-12596000</v>
      </c>
      <c r="E30" s="201">
        <f>D30-C30</f>
        <v>-30574931</v>
      </c>
      <c r="F30" s="134"/>
      <c r="G30" s="135" t="s">
        <v>449</v>
      </c>
      <c r="H30" s="140"/>
    </row>
  </sheetData>
  <sheetProtection algorithmName="SHA-512" hashValue="xvMeyhEkHSPrG+V7U8uo04WtegouENXyVmarg7PwWvY+zAXwuqelufezg5tIxh9Yj2cDPbIxZSMzLxKvXfB9tw==" saltValue="H7l4rCdfLi7BfQBwyKsSfg==" spinCount="100000" sheet="1" objects="1" scenarios="1"/>
  <pageMargins left="0.4" right="0.17" top="0.5" bottom="0.17" header="0.17" footer="0.17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D7391-8602-45C5-BCE8-B0C18D344B6C}">
  <sheetPr codeName="Sheet3"/>
  <dimension ref="A1:B149"/>
  <sheetViews>
    <sheetView workbookViewId="0">
      <selection activeCell="B7" sqref="B7"/>
    </sheetView>
  </sheetViews>
  <sheetFormatPr defaultRowHeight="14.4" x14ac:dyDescent="0.3"/>
  <cols>
    <col min="1" max="1" width="6" bestFit="1" customWidth="1"/>
    <col min="2" max="2" width="28.109375" bestFit="1" customWidth="1"/>
  </cols>
  <sheetData>
    <row r="1" spans="1:2" x14ac:dyDescent="0.3">
      <c r="A1" s="1" t="s">
        <v>152</v>
      </c>
      <c r="B1" s="1" t="s">
        <v>153</v>
      </c>
    </row>
    <row r="2" spans="1:2" x14ac:dyDescent="0.3">
      <c r="A2" s="2">
        <v>6001</v>
      </c>
      <c r="B2" s="3" t="s">
        <v>154</v>
      </c>
    </row>
    <row r="3" spans="1:2" x14ac:dyDescent="0.3">
      <c r="A3" s="2">
        <v>58003</v>
      </c>
      <c r="B3" s="3" t="s">
        <v>155</v>
      </c>
    </row>
    <row r="4" spans="1:2" x14ac:dyDescent="0.3">
      <c r="A4" s="2">
        <v>61001</v>
      </c>
      <c r="B4" s="3" t="s">
        <v>156</v>
      </c>
    </row>
    <row r="5" spans="1:2" x14ac:dyDescent="0.3">
      <c r="A5" s="2">
        <v>11001</v>
      </c>
      <c r="B5" s="3" t="s">
        <v>157</v>
      </c>
    </row>
    <row r="6" spans="1:2" x14ac:dyDescent="0.3">
      <c r="A6" s="2">
        <v>38001</v>
      </c>
      <c r="B6" s="3" t="s">
        <v>158</v>
      </c>
    </row>
    <row r="7" spans="1:2" x14ac:dyDescent="0.3">
      <c r="A7" s="2">
        <v>21001</v>
      </c>
      <c r="B7" s="3" t="s">
        <v>159</v>
      </c>
    </row>
    <row r="8" spans="1:2" x14ac:dyDescent="0.3">
      <c r="A8" s="2">
        <v>4001</v>
      </c>
      <c r="B8" s="3" t="s">
        <v>160</v>
      </c>
    </row>
    <row r="9" spans="1:2" x14ac:dyDescent="0.3">
      <c r="A9" s="2">
        <v>49001</v>
      </c>
      <c r="B9" s="3" t="s">
        <v>161</v>
      </c>
    </row>
    <row r="10" spans="1:2" x14ac:dyDescent="0.3">
      <c r="A10" s="2">
        <v>9001</v>
      </c>
      <c r="B10" s="3" t="s">
        <v>162</v>
      </c>
    </row>
    <row r="11" spans="1:2" x14ac:dyDescent="0.3">
      <c r="A11" s="2">
        <v>3001</v>
      </c>
      <c r="B11" s="3" t="s">
        <v>163</v>
      </c>
    </row>
    <row r="12" spans="1:2" x14ac:dyDescent="0.3">
      <c r="A12" s="2">
        <v>61002</v>
      </c>
      <c r="B12" s="3" t="s">
        <v>164</v>
      </c>
    </row>
    <row r="13" spans="1:2" x14ac:dyDescent="0.3">
      <c r="A13" s="2">
        <v>25001</v>
      </c>
      <c r="B13" s="3" t="s">
        <v>165</v>
      </c>
    </row>
    <row r="14" spans="1:2" x14ac:dyDescent="0.3">
      <c r="A14" s="2">
        <v>52001</v>
      </c>
      <c r="B14" s="3" t="s">
        <v>166</v>
      </c>
    </row>
    <row r="15" spans="1:2" x14ac:dyDescent="0.3">
      <c r="A15" s="2">
        <v>4002</v>
      </c>
      <c r="B15" s="3" t="s">
        <v>167</v>
      </c>
    </row>
    <row r="16" spans="1:2" x14ac:dyDescent="0.3">
      <c r="A16" s="2">
        <v>22001</v>
      </c>
      <c r="B16" s="3" t="s">
        <v>168</v>
      </c>
    </row>
    <row r="17" spans="1:2" x14ac:dyDescent="0.3">
      <c r="A17" s="2">
        <v>49002</v>
      </c>
      <c r="B17" s="3" t="s">
        <v>169</v>
      </c>
    </row>
    <row r="18" spans="1:2" x14ac:dyDescent="0.3">
      <c r="A18" s="2">
        <v>30003</v>
      </c>
      <c r="B18" s="3" t="s">
        <v>170</v>
      </c>
    </row>
    <row r="19" spans="1:2" x14ac:dyDescent="0.3">
      <c r="A19" s="2">
        <v>45004</v>
      </c>
      <c r="B19" s="3" t="s">
        <v>171</v>
      </c>
    </row>
    <row r="20" spans="1:2" x14ac:dyDescent="0.3">
      <c r="A20" s="2">
        <v>5001</v>
      </c>
      <c r="B20" s="3" t="s">
        <v>172</v>
      </c>
    </row>
    <row r="21" spans="1:2" x14ac:dyDescent="0.3">
      <c r="A21" s="2">
        <v>26002</v>
      </c>
      <c r="B21" s="3" t="s">
        <v>173</v>
      </c>
    </row>
    <row r="22" spans="1:2" x14ac:dyDescent="0.3">
      <c r="A22" s="2">
        <v>43001</v>
      </c>
      <c r="B22" s="3" t="s">
        <v>174</v>
      </c>
    </row>
    <row r="23" spans="1:2" x14ac:dyDescent="0.3">
      <c r="A23" s="2">
        <v>41001</v>
      </c>
      <c r="B23" s="3" t="s">
        <v>175</v>
      </c>
    </row>
    <row r="24" spans="1:2" x14ac:dyDescent="0.3">
      <c r="A24" s="2">
        <v>28001</v>
      </c>
      <c r="B24" s="3" t="s">
        <v>176</v>
      </c>
    </row>
    <row r="25" spans="1:2" x14ac:dyDescent="0.3">
      <c r="A25" s="2">
        <v>60001</v>
      </c>
      <c r="B25" s="3" t="s">
        <v>177</v>
      </c>
    </row>
    <row r="26" spans="1:2" x14ac:dyDescent="0.3">
      <c r="A26" s="2">
        <v>7001</v>
      </c>
      <c r="B26" s="3" t="s">
        <v>178</v>
      </c>
    </row>
    <row r="27" spans="1:2" x14ac:dyDescent="0.3">
      <c r="A27" s="2">
        <v>39001</v>
      </c>
      <c r="B27" s="3" t="s">
        <v>179</v>
      </c>
    </row>
    <row r="28" spans="1:2" x14ac:dyDescent="0.3">
      <c r="A28" s="2">
        <v>12002</v>
      </c>
      <c r="B28" s="3" t="s">
        <v>180</v>
      </c>
    </row>
    <row r="29" spans="1:2" x14ac:dyDescent="0.3">
      <c r="A29" s="2">
        <v>50005</v>
      </c>
      <c r="B29" s="3" t="s">
        <v>181</v>
      </c>
    </row>
    <row r="30" spans="1:2" x14ac:dyDescent="0.3">
      <c r="A30" s="2">
        <v>59003</v>
      </c>
      <c r="B30" s="3" t="s">
        <v>182</v>
      </c>
    </row>
    <row r="31" spans="1:2" x14ac:dyDescent="0.3">
      <c r="A31" s="2">
        <v>21003</v>
      </c>
      <c r="B31" s="3" t="s">
        <v>183</v>
      </c>
    </row>
    <row r="32" spans="1:2" x14ac:dyDescent="0.3">
      <c r="A32" s="2">
        <v>16001</v>
      </c>
      <c r="B32" s="3" t="s">
        <v>184</v>
      </c>
    </row>
    <row r="33" spans="1:2" x14ac:dyDescent="0.3">
      <c r="A33" s="2">
        <v>61008</v>
      </c>
      <c r="B33" s="3" t="s">
        <v>185</v>
      </c>
    </row>
    <row r="34" spans="1:2" x14ac:dyDescent="0.3">
      <c r="A34" s="2">
        <v>38002</v>
      </c>
      <c r="B34" s="3" t="s">
        <v>186</v>
      </c>
    </row>
    <row r="35" spans="1:2" x14ac:dyDescent="0.3">
      <c r="A35" s="2">
        <v>49003</v>
      </c>
      <c r="B35" s="3" t="s">
        <v>187</v>
      </c>
    </row>
    <row r="36" spans="1:2" x14ac:dyDescent="0.3">
      <c r="A36" s="2">
        <v>5006</v>
      </c>
      <c r="B36" s="3" t="s">
        <v>188</v>
      </c>
    </row>
    <row r="37" spans="1:2" x14ac:dyDescent="0.3">
      <c r="A37" s="2">
        <v>19004</v>
      </c>
      <c r="B37" s="3" t="s">
        <v>189</v>
      </c>
    </row>
    <row r="38" spans="1:2" x14ac:dyDescent="0.3">
      <c r="A38" s="2">
        <v>56002</v>
      </c>
      <c r="B38" s="3" t="s">
        <v>190</v>
      </c>
    </row>
    <row r="39" spans="1:2" x14ac:dyDescent="0.3">
      <c r="A39" s="2">
        <v>51001</v>
      </c>
      <c r="B39" s="3" t="s">
        <v>191</v>
      </c>
    </row>
    <row r="40" spans="1:2" x14ac:dyDescent="0.3">
      <c r="A40" s="2">
        <v>64002</v>
      </c>
      <c r="B40" s="3" t="s">
        <v>192</v>
      </c>
    </row>
    <row r="41" spans="1:2" x14ac:dyDescent="0.3">
      <c r="A41" s="2">
        <v>20001</v>
      </c>
      <c r="B41" s="3" t="s">
        <v>193</v>
      </c>
    </row>
    <row r="42" spans="1:2" x14ac:dyDescent="0.3">
      <c r="A42" s="2">
        <v>23001</v>
      </c>
      <c r="B42" s="3" t="s">
        <v>194</v>
      </c>
    </row>
    <row r="43" spans="1:2" x14ac:dyDescent="0.3">
      <c r="A43" s="2">
        <v>22005</v>
      </c>
      <c r="B43" s="3" t="s">
        <v>195</v>
      </c>
    </row>
    <row r="44" spans="1:2" x14ac:dyDescent="0.3">
      <c r="A44" s="2">
        <v>16002</v>
      </c>
      <c r="B44" s="3" t="s">
        <v>196</v>
      </c>
    </row>
    <row r="45" spans="1:2" x14ac:dyDescent="0.3">
      <c r="A45" s="2">
        <v>61007</v>
      </c>
      <c r="B45" s="3" t="s">
        <v>197</v>
      </c>
    </row>
    <row r="46" spans="1:2" x14ac:dyDescent="0.3">
      <c r="A46" s="2">
        <v>5003</v>
      </c>
      <c r="B46" s="3" t="s">
        <v>198</v>
      </c>
    </row>
    <row r="47" spans="1:2" x14ac:dyDescent="0.3">
      <c r="A47" s="2">
        <v>28002</v>
      </c>
      <c r="B47" s="3" t="s">
        <v>199</v>
      </c>
    </row>
    <row r="48" spans="1:2" x14ac:dyDescent="0.3">
      <c r="A48" s="2">
        <v>17001</v>
      </c>
      <c r="B48" s="3" t="s">
        <v>200</v>
      </c>
    </row>
    <row r="49" spans="1:2" x14ac:dyDescent="0.3">
      <c r="A49" s="2">
        <v>44001</v>
      </c>
      <c r="B49" s="3" t="s">
        <v>201</v>
      </c>
    </row>
    <row r="50" spans="1:2" x14ac:dyDescent="0.3">
      <c r="A50" s="2">
        <v>46002</v>
      </c>
      <c r="B50" s="3" t="s">
        <v>202</v>
      </c>
    </row>
    <row r="51" spans="1:2" x14ac:dyDescent="0.3">
      <c r="A51" s="2">
        <v>24004</v>
      </c>
      <c r="B51" s="3" t="s">
        <v>307</v>
      </c>
    </row>
    <row r="52" spans="1:2" x14ac:dyDescent="0.3">
      <c r="A52" s="2">
        <v>50003</v>
      </c>
      <c r="B52" s="3" t="s">
        <v>204</v>
      </c>
    </row>
    <row r="53" spans="1:2" x14ac:dyDescent="0.3">
      <c r="A53" s="2">
        <v>14001</v>
      </c>
      <c r="B53" s="3" t="s">
        <v>205</v>
      </c>
    </row>
    <row r="54" spans="1:2" x14ac:dyDescent="0.3">
      <c r="A54" s="2">
        <v>6002</v>
      </c>
      <c r="B54" s="3" t="s">
        <v>206</v>
      </c>
    </row>
    <row r="55" spans="1:2" x14ac:dyDescent="0.3">
      <c r="A55" s="2">
        <v>33001</v>
      </c>
      <c r="B55" s="3" t="s">
        <v>207</v>
      </c>
    </row>
    <row r="56" spans="1:2" x14ac:dyDescent="0.3">
      <c r="A56" s="2">
        <v>49004</v>
      </c>
      <c r="B56" s="3" t="s">
        <v>208</v>
      </c>
    </row>
    <row r="57" spans="1:2" x14ac:dyDescent="0.3">
      <c r="A57" s="2">
        <v>63001</v>
      </c>
      <c r="B57" s="3" t="s">
        <v>209</v>
      </c>
    </row>
    <row r="58" spans="1:2" x14ac:dyDescent="0.3">
      <c r="A58" s="2">
        <v>53001</v>
      </c>
      <c r="B58" s="3" t="s">
        <v>210</v>
      </c>
    </row>
    <row r="59" spans="1:2" x14ac:dyDescent="0.3">
      <c r="A59" s="2">
        <v>26004</v>
      </c>
      <c r="B59" s="3" t="s">
        <v>211</v>
      </c>
    </row>
    <row r="60" spans="1:2" x14ac:dyDescent="0.3">
      <c r="A60" s="2">
        <v>6006</v>
      </c>
      <c r="B60" s="3" t="s">
        <v>212</v>
      </c>
    </row>
    <row r="61" spans="1:2" x14ac:dyDescent="0.3">
      <c r="A61" s="2">
        <v>27001</v>
      </c>
      <c r="B61" s="3" t="s">
        <v>213</v>
      </c>
    </row>
    <row r="62" spans="1:2" x14ac:dyDescent="0.3">
      <c r="A62" s="2">
        <v>28003</v>
      </c>
      <c r="B62" s="3" t="s">
        <v>214</v>
      </c>
    </row>
    <row r="63" spans="1:2" x14ac:dyDescent="0.3">
      <c r="A63" s="2">
        <v>30001</v>
      </c>
      <c r="B63" s="3" t="s">
        <v>215</v>
      </c>
    </row>
    <row r="64" spans="1:2" x14ac:dyDescent="0.3">
      <c r="A64" s="2">
        <v>31001</v>
      </c>
      <c r="B64" s="3" t="s">
        <v>216</v>
      </c>
    </row>
    <row r="65" spans="1:2" x14ac:dyDescent="0.3">
      <c r="A65" s="2">
        <v>41002</v>
      </c>
      <c r="B65" s="3" t="s">
        <v>217</v>
      </c>
    </row>
    <row r="66" spans="1:2" x14ac:dyDescent="0.3">
      <c r="A66" s="2">
        <v>14002</v>
      </c>
      <c r="B66" s="3" t="s">
        <v>218</v>
      </c>
    </row>
    <row r="67" spans="1:2" x14ac:dyDescent="0.3">
      <c r="A67" s="2">
        <v>10001</v>
      </c>
      <c r="B67" s="3" t="s">
        <v>219</v>
      </c>
    </row>
    <row r="68" spans="1:2" x14ac:dyDescent="0.3">
      <c r="A68" s="2">
        <v>34002</v>
      </c>
      <c r="B68" s="3" t="s">
        <v>220</v>
      </c>
    </row>
    <row r="69" spans="1:2" x14ac:dyDescent="0.3">
      <c r="A69" s="2">
        <v>51002</v>
      </c>
      <c r="B69" s="3" t="s">
        <v>221</v>
      </c>
    </row>
    <row r="70" spans="1:2" x14ac:dyDescent="0.3">
      <c r="A70" s="2">
        <v>56006</v>
      </c>
      <c r="B70" s="3" t="s">
        <v>222</v>
      </c>
    </row>
    <row r="71" spans="1:2" x14ac:dyDescent="0.3">
      <c r="A71" s="2">
        <v>23002</v>
      </c>
      <c r="B71" s="3" t="s">
        <v>223</v>
      </c>
    </row>
    <row r="72" spans="1:2" x14ac:dyDescent="0.3">
      <c r="A72" s="2">
        <v>53002</v>
      </c>
      <c r="B72" s="3" t="s">
        <v>224</v>
      </c>
    </row>
    <row r="73" spans="1:2" x14ac:dyDescent="0.3">
      <c r="A73" s="2">
        <v>48003</v>
      </c>
      <c r="B73" s="3" t="s">
        <v>225</v>
      </c>
    </row>
    <row r="74" spans="1:2" x14ac:dyDescent="0.3">
      <c r="A74" s="2">
        <v>2002</v>
      </c>
      <c r="B74" s="3" t="s">
        <v>226</v>
      </c>
    </row>
    <row r="75" spans="1:2" x14ac:dyDescent="0.3">
      <c r="A75" s="2">
        <v>22006</v>
      </c>
      <c r="B75" s="3" t="s">
        <v>227</v>
      </c>
    </row>
    <row r="76" spans="1:2" x14ac:dyDescent="0.3">
      <c r="A76" s="2">
        <v>13003</v>
      </c>
      <c r="B76" s="3" t="s">
        <v>228</v>
      </c>
    </row>
    <row r="77" spans="1:2" x14ac:dyDescent="0.3">
      <c r="A77" s="2">
        <v>2003</v>
      </c>
      <c r="B77" s="3" t="s">
        <v>229</v>
      </c>
    </row>
    <row r="78" spans="1:2" x14ac:dyDescent="0.3">
      <c r="A78" s="2">
        <v>37003</v>
      </c>
      <c r="B78" s="3" t="s">
        <v>230</v>
      </c>
    </row>
    <row r="79" spans="1:2" x14ac:dyDescent="0.3">
      <c r="A79" s="2">
        <v>35002</v>
      </c>
      <c r="B79" s="3" t="s">
        <v>231</v>
      </c>
    </row>
    <row r="80" spans="1:2" x14ac:dyDescent="0.3">
      <c r="A80" s="2">
        <v>7002</v>
      </c>
      <c r="B80" s="3" t="s">
        <v>232</v>
      </c>
    </row>
    <row r="81" spans="1:2" x14ac:dyDescent="0.3">
      <c r="A81" s="2">
        <v>38003</v>
      </c>
      <c r="B81" s="3" t="s">
        <v>233</v>
      </c>
    </row>
    <row r="82" spans="1:2" x14ac:dyDescent="0.3">
      <c r="A82" s="2">
        <v>45005</v>
      </c>
      <c r="B82" s="3" t="s">
        <v>234</v>
      </c>
    </row>
    <row r="83" spans="1:2" x14ac:dyDescent="0.3">
      <c r="A83" s="2">
        <v>40001</v>
      </c>
      <c r="B83" s="3" t="s">
        <v>235</v>
      </c>
    </row>
    <row r="84" spans="1:2" x14ac:dyDescent="0.3">
      <c r="A84" s="2">
        <v>52004</v>
      </c>
      <c r="B84" s="3" t="s">
        <v>236</v>
      </c>
    </row>
    <row r="85" spans="1:2" x14ac:dyDescent="0.3">
      <c r="A85" s="2">
        <v>41004</v>
      </c>
      <c r="B85" s="3" t="s">
        <v>237</v>
      </c>
    </row>
    <row r="86" spans="1:2" x14ac:dyDescent="0.3">
      <c r="A86" s="2">
        <v>44002</v>
      </c>
      <c r="B86" s="3" t="s">
        <v>238</v>
      </c>
    </row>
    <row r="87" spans="1:2" x14ac:dyDescent="0.3">
      <c r="A87" s="2">
        <v>42001</v>
      </c>
      <c r="B87" s="3" t="s">
        <v>239</v>
      </c>
    </row>
    <row r="88" spans="1:2" x14ac:dyDescent="0.3">
      <c r="A88" s="2">
        <v>39002</v>
      </c>
      <c r="B88" s="3" t="s">
        <v>240</v>
      </c>
    </row>
    <row r="89" spans="1:2" x14ac:dyDescent="0.3">
      <c r="A89" s="2">
        <v>60003</v>
      </c>
      <c r="B89" s="3" t="s">
        <v>241</v>
      </c>
    </row>
    <row r="90" spans="1:2" x14ac:dyDescent="0.3">
      <c r="A90" s="2">
        <v>43007</v>
      </c>
      <c r="B90" s="3" t="s">
        <v>242</v>
      </c>
    </row>
    <row r="91" spans="1:2" x14ac:dyDescent="0.3">
      <c r="A91" s="2">
        <v>15001</v>
      </c>
      <c r="B91" s="3" t="s">
        <v>243</v>
      </c>
    </row>
    <row r="92" spans="1:2" x14ac:dyDescent="0.3">
      <c r="A92" s="2">
        <v>15002</v>
      </c>
      <c r="B92" s="3" t="s">
        <v>244</v>
      </c>
    </row>
    <row r="93" spans="1:2" x14ac:dyDescent="0.3">
      <c r="A93" s="2">
        <v>46001</v>
      </c>
      <c r="B93" s="3" t="s">
        <v>245</v>
      </c>
    </row>
    <row r="94" spans="1:2" x14ac:dyDescent="0.3">
      <c r="A94" s="2">
        <v>33002</v>
      </c>
      <c r="B94" s="3" t="s">
        <v>246</v>
      </c>
    </row>
    <row r="95" spans="1:2" x14ac:dyDescent="0.3">
      <c r="A95" s="2">
        <v>25004</v>
      </c>
      <c r="B95" s="3" t="s">
        <v>247</v>
      </c>
    </row>
    <row r="96" spans="1:2" x14ac:dyDescent="0.3">
      <c r="A96" s="2">
        <v>29004</v>
      </c>
      <c r="B96" s="3" t="s">
        <v>248</v>
      </c>
    </row>
    <row r="97" spans="1:2" x14ac:dyDescent="0.3">
      <c r="A97" s="2">
        <v>17002</v>
      </c>
      <c r="B97" s="3" t="s">
        <v>249</v>
      </c>
    </row>
    <row r="98" spans="1:2" x14ac:dyDescent="0.3">
      <c r="A98" s="2">
        <v>62006</v>
      </c>
      <c r="B98" s="3" t="s">
        <v>250</v>
      </c>
    </row>
    <row r="99" spans="1:2" x14ac:dyDescent="0.3">
      <c r="A99" s="2">
        <v>43002</v>
      </c>
      <c r="B99" s="3" t="s">
        <v>251</v>
      </c>
    </row>
    <row r="100" spans="1:2" x14ac:dyDescent="0.3">
      <c r="A100" s="2">
        <v>17003</v>
      </c>
      <c r="B100" s="3" t="s">
        <v>252</v>
      </c>
    </row>
    <row r="101" spans="1:2" x14ac:dyDescent="0.3">
      <c r="A101" s="2">
        <v>51003</v>
      </c>
      <c r="B101" s="3" t="s">
        <v>253</v>
      </c>
    </row>
    <row r="102" spans="1:2" x14ac:dyDescent="0.3">
      <c r="A102" s="2">
        <v>9002</v>
      </c>
      <c r="B102" s="3" t="s">
        <v>254</v>
      </c>
    </row>
    <row r="103" spans="1:2" x14ac:dyDescent="0.3">
      <c r="A103" s="2">
        <v>56007</v>
      </c>
      <c r="B103" s="3" t="s">
        <v>255</v>
      </c>
    </row>
    <row r="104" spans="1:2" x14ac:dyDescent="0.3">
      <c r="A104" s="2">
        <v>23003</v>
      </c>
      <c r="B104" s="3" t="s">
        <v>256</v>
      </c>
    </row>
    <row r="105" spans="1:2" x14ac:dyDescent="0.3">
      <c r="A105" s="2">
        <v>65001</v>
      </c>
      <c r="B105" s="3" t="s">
        <v>257</v>
      </c>
    </row>
    <row r="106" spans="1:2" x14ac:dyDescent="0.3">
      <c r="A106" s="148">
        <v>39006</v>
      </c>
      <c r="B106" s="3" t="s">
        <v>444</v>
      </c>
    </row>
    <row r="107" spans="1:2" x14ac:dyDescent="0.3">
      <c r="A107" s="2">
        <v>60004</v>
      </c>
      <c r="B107" s="3" t="s">
        <v>259</v>
      </c>
    </row>
    <row r="108" spans="1:2" x14ac:dyDescent="0.3">
      <c r="A108" s="2">
        <v>33003</v>
      </c>
      <c r="B108" s="3" t="s">
        <v>260</v>
      </c>
    </row>
    <row r="109" spans="1:2" x14ac:dyDescent="0.3">
      <c r="A109" s="2">
        <v>32002</v>
      </c>
      <c r="B109" s="3" t="s">
        <v>261</v>
      </c>
    </row>
    <row r="110" spans="1:2" x14ac:dyDescent="0.3">
      <c r="A110" s="2">
        <v>1001</v>
      </c>
      <c r="B110" s="3" t="s">
        <v>262</v>
      </c>
    </row>
    <row r="111" spans="1:2" x14ac:dyDescent="0.3">
      <c r="A111" s="2">
        <v>11005</v>
      </c>
      <c r="B111" s="3" t="s">
        <v>263</v>
      </c>
    </row>
    <row r="112" spans="1:2" x14ac:dyDescent="0.3">
      <c r="A112" s="4">
        <v>51004</v>
      </c>
      <c r="B112" s="5" t="s">
        <v>346</v>
      </c>
    </row>
    <row r="113" spans="1:2" x14ac:dyDescent="0.3">
      <c r="A113" s="2">
        <v>56004</v>
      </c>
      <c r="B113" s="3" t="s">
        <v>265</v>
      </c>
    </row>
    <row r="114" spans="1:2" x14ac:dyDescent="0.3">
      <c r="A114" s="2">
        <v>54004</v>
      </c>
      <c r="B114" s="3" t="s">
        <v>266</v>
      </c>
    </row>
    <row r="115" spans="1:2" x14ac:dyDescent="0.3">
      <c r="A115" s="2">
        <v>55005</v>
      </c>
      <c r="B115" s="3" t="s">
        <v>268</v>
      </c>
    </row>
    <row r="116" spans="1:2" x14ac:dyDescent="0.3">
      <c r="A116" s="2">
        <v>4003</v>
      </c>
      <c r="B116" s="3" t="s">
        <v>269</v>
      </c>
    </row>
    <row r="117" spans="1:2" x14ac:dyDescent="0.3">
      <c r="A117" s="2">
        <v>62005</v>
      </c>
      <c r="B117" s="3" t="s">
        <v>270</v>
      </c>
    </row>
    <row r="118" spans="1:2" x14ac:dyDescent="0.3">
      <c r="A118" s="4">
        <v>49005</v>
      </c>
      <c r="B118" s="5" t="s">
        <v>271</v>
      </c>
    </row>
    <row r="119" spans="1:2" x14ac:dyDescent="0.3">
      <c r="A119" s="2">
        <v>5005</v>
      </c>
      <c r="B119" s="3" t="s">
        <v>272</v>
      </c>
    </row>
    <row r="120" spans="1:2" x14ac:dyDescent="0.3">
      <c r="A120" s="2">
        <v>54002</v>
      </c>
      <c r="B120" s="3" t="s">
        <v>273</v>
      </c>
    </row>
    <row r="121" spans="1:2" x14ac:dyDescent="0.3">
      <c r="A121" s="2">
        <v>15003</v>
      </c>
      <c r="B121" s="3" t="s">
        <v>274</v>
      </c>
    </row>
    <row r="122" spans="1:2" x14ac:dyDescent="0.3">
      <c r="A122" s="2">
        <v>26005</v>
      </c>
      <c r="B122" s="3" t="s">
        <v>275</v>
      </c>
    </row>
    <row r="123" spans="1:2" x14ac:dyDescent="0.3">
      <c r="A123" s="2">
        <v>40002</v>
      </c>
      <c r="B123" s="3" t="s">
        <v>276</v>
      </c>
    </row>
    <row r="124" spans="1:2" x14ac:dyDescent="0.3">
      <c r="A124" s="2">
        <v>57001</v>
      </c>
      <c r="B124" s="3" t="s">
        <v>277</v>
      </c>
    </row>
    <row r="125" spans="1:2" x14ac:dyDescent="0.3">
      <c r="A125" s="2">
        <v>54006</v>
      </c>
      <c r="B125" s="3" t="s">
        <v>278</v>
      </c>
    </row>
    <row r="126" spans="1:2" x14ac:dyDescent="0.3">
      <c r="A126" s="2">
        <v>41005</v>
      </c>
      <c r="B126" s="3" t="s">
        <v>279</v>
      </c>
    </row>
    <row r="127" spans="1:2" x14ac:dyDescent="0.3">
      <c r="A127" s="2">
        <v>20003</v>
      </c>
      <c r="B127" s="3" t="s">
        <v>280</v>
      </c>
    </row>
    <row r="128" spans="1:2" x14ac:dyDescent="0.3">
      <c r="A128" s="2">
        <v>66001</v>
      </c>
      <c r="B128" s="3" t="s">
        <v>281</v>
      </c>
    </row>
    <row r="129" spans="1:2" x14ac:dyDescent="0.3">
      <c r="A129" s="2">
        <v>33005</v>
      </c>
      <c r="B129" s="3" t="s">
        <v>282</v>
      </c>
    </row>
    <row r="130" spans="1:2" x14ac:dyDescent="0.3">
      <c r="A130" s="2">
        <v>49006</v>
      </c>
      <c r="B130" s="3" t="s">
        <v>283</v>
      </c>
    </row>
    <row r="131" spans="1:2" x14ac:dyDescent="0.3">
      <c r="A131" s="2">
        <v>13001</v>
      </c>
      <c r="B131" s="3" t="s">
        <v>284</v>
      </c>
    </row>
    <row r="132" spans="1:2" x14ac:dyDescent="0.3">
      <c r="A132" s="2">
        <v>60006</v>
      </c>
      <c r="B132" s="3" t="s">
        <v>285</v>
      </c>
    </row>
    <row r="133" spans="1:2" x14ac:dyDescent="0.3">
      <c r="A133" s="2">
        <v>11004</v>
      </c>
      <c r="B133" s="3" t="s">
        <v>286</v>
      </c>
    </row>
    <row r="134" spans="1:2" x14ac:dyDescent="0.3">
      <c r="A134" s="2">
        <v>51005</v>
      </c>
      <c r="B134" s="3" t="s">
        <v>287</v>
      </c>
    </row>
    <row r="135" spans="1:2" x14ac:dyDescent="0.3">
      <c r="A135" s="2">
        <v>6005</v>
      </c>
      <c r="B135" s="3" t="s">
        <v>288</v>
      </c>
    </row>
    <row r="136" spans="1:2" x14ac:dyDescent="0.3">
      <c r="A136" s="2">
        <v>14004</v>
      </c>
      <c r="B136" s="3" t="s">
        <v>289</v>
      </c>
    </row>
    <row r="137" spans="1:2" x14ac:dyDescent="0.3">
      <c r="A137" s="2">
        <v>18003</v>
      </c>
      <c r="B137" s="3" t="s">
        <v>290</v>
      </c>
    </row>
    <row r="138" spans="1:2" x14ac:dyDescent="0.3">
      <c r="A138" s="2">
        <v>14005</v>
      </c>
      <c r="B138" s="3" t="s">
        <v>291</v>
      </c>
    </row>
    <row r="139" spans="1:2" x14ac:dyDescent="0.3">
      <c r="A139" s="2">
        <v>18005</v>
      </c>
      <c r="B139" s="3" t="s">
        <v>292</v>
      </c>
    </row>
    <row r="140" spans="1:2" x14ac:dyDescent="0.3">
      <c r="A140" s="2">
        <v>36002</v>
      </c>
      <c r="B140" s="3" t="s">
        <v>293</v>
      </c>
    </row>
    <row r="141" spans="1:2" x14ac:dyDescent="0.3">
      <c r="A141" s="2">
        <v>49007</v>
      </c>
      <c r="B141" s="3" t="s">
        <v>294</v>
      </c>
    </row>
    <row r="142" spans="1:2" x14ac:dyDescent="0.3">
      <c r="A142" s="2">
        <v>1003</v>
      </c>
      <c r="B142" s="3" t="s">
        <v>295</v>
      </c>
    </row>
    <row r="143" spans="1:2" x14ac:dyDescent="0.3">
      <c r="A143" s="2">
        <v>47001</v>
      </c>
      <c r="B143" s="3" t="s">
        <v>296</v>
      </c>
    </row>
    <row r="144" spans="1:2" x14ac:dyDescent="0.3">
      <c r="A144" s="2">
        <v>12003</v>
      </c>
      <c r="B144" s="3" t="s">
        <v>297</v>
      </c>
    </row>
    <row r="145" spans="1:2" x14ac:dyDescent="0.3">
      <c r="A145" s="2">
        <v>54007</v>
      </c>
      <c r="B145" s="3" t="s">
        <v>298</v>
      </c>
    </row>
    <row r="146" spans="1:2" x14ac:dyDescent="0.3">
      <c r="A146" s="2">
        <v>59002</v>
      </c>
      <c r="B146" s="3" t="s">
        <v>299</v>
      </c>
    </row>
    <row r="147" spans="1:2" x14ac:dyDescent="0.3">
      <c r="A147" s="2">
        <v>2006</v>
      </c>
      <c r="B147" s="3" t="s">
        <v>300</v>
      </c>
    </row>
    <row r="148" spans="1:2" x14ac:dyDescent="0.3">
      <c r="A148" s="2">
        <v>55004</v>
      </c>
      <c r="B148" s="3" t="s">
        <v>301</v>
      </c>
    </row>
    <row r="149" spans="1:2" x14ac:dyDescent="0.3">
      <c r="A149" s="2">
        <v>63003</v>
      </c>
      <c r="B149" s="3" t="s">
        <v>302</v>
      </c>
    </row>
  </sheetData>
  <sheetProtection algorithmName="SHA-512" hashValue="1zSmNIEmLdjJW5MVrTVFWLQ39qdPnmhHKUdH5wYC1E75WWTm/w5Ae9WyL1iCJpMkywR6n6NEJM5pvCYD57oHDQ==" saltValue="GpOCrZA5JrYTy489yY4hSA==" spinCount="100000" sheet="1" objects="1" scenarios="1"/>
  <phoneticPr fontId="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DA61-AC2C-42DF-9845-D78E95C9A2FE}">
  <sheetPr codeName="Sheet4">
    <pageSetUpPr fitToPage="1"/>
  </sheetPr>
  <dimension ref="A1:M163"/>
  <sheetViews>
    <sheetView showGridLines="0" zoomScale="93" zoomScaleNormal="93" workbookViewId="0">
      <pane xSplit="2" ySplit="2" topLeftCell="C3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ColWidth="9.109375" defaultRowHeight="14.4" x14ac:dyDescent="0.3"/>
  <cols>
    <col min="1" max="1" width="8.6640625" style="214" bestFit="1" customWidth="1"/>
    <col min="2" max="2" width="29.6640625" style="214" bestFit="1" customWidth="1"/>
    <col min="3" max="5" width="10.33203125" style="215" bestFit="1" customWidth="1"/>
    <col min="6" max="8" width="10.6640625" style="215" bestFit="1" customWidth="1"/>
    <col min="9" max="9" width="10.33203125" style="215" bestFit="1" customWidth="1"/>
    <col min="10" max="10" width="10.6640625" style="214" bestFit="1" customWidth="1"/>
    <col min="11" max="11" width="10.33203125" style="214" bestFit="1" customWidth="1"/>
    <col min="12" max="12" width="10.6640625" style="214" bestFit="1" customWidth="1"/>
    <col min="13" max="13" width="10.33203125" style="214" bestFit="1" customWidth="1"/>
    <col min="14" max="16384" width="9.109375" style="214"/>
  </cols>
  <sheetData>
    <row r="1" spans="1:13" ht="18" x14ac:dyDescent="0.35">
      <c r="A1" s="220" t="s">
        <v>323</v>
      </c>
    </row>
    <row r="2" spans="1:13" s="219" customFormat="1" ht="43.8" thickBot="1" x14ac:dyDescent="0.35">
      <c r="A2" s="216" t="s">
        <v>392</v>
      </c>
      <c r="B2" s="217" t="s">
        <v>153</v>
      </c>
      <c r="C2" s="218" t="s">
        <v>322</v>
      </c>
      <c r="D2" s="218" t="s">
        <v>321</v>
      </c>
      <c r="E2" s="218" t="s">
        <v>320</v>
      </c>
      <c r="F2" s="218" t="s">
        <v>319</v>
      </c>
      <c r="G2" s="218" t="s">
        <v>318</v>
      </c>
      <c r="H2" s="218" t="s">
        <v>310</v>
      </c>
      <c r="I2" s="218" t="s">
        <v>329</v>
      </c>
      <c r="J2" s="218" t="s">
        <v>391</v>
      </c>
      <c r="K2" s="218" t="s">
        <v>400</v>
      </c>
      <c r="L2" s="218" t="s">
        <v>412</v>
      </c>
      <c r="M2" s="218" t="s">
        <v>450</v>
      </c>
    </row>
    <row r="3" spans="1:13" s="224" customFormat="1" thickBot="1" x14ac:dyDescent="0.35">
      <c r="A3" s="221">
        <v>6001</v>
      </c>
      <c r="B3" s="222" t="s">
        <v>154</v>
      </c>
      <c r="C3" s="223">
        <v>4255.4799999999996</v>
      </c>
      <c r="D3" s="223">
        <v>4351.5200000000004</v>
      </c>
      <c r="E3" s="223">
        <v>4470.79</v>
      </c>
      <c r="F3" s="223">
        <v>4550.58</v>
      </c>
      <c r="G3" s="223">
        <v>4519.12</v>
      </c>
      <c r="H3" s="223">
        <v>4469.9399999999996</v>
      </c>
      <c r="I3" s="223">
        <v>4489.3599999999997</v>
      </c>
      <c r="J3" s="223">
        <v>4491.13</v>
      </c>
      <c r="K3" s="223">
        <v>4428.5200000000004</v>
      </c>
      <c r="L3" s="223">
        <v>4349.66</v>
      </c>
      <c r="M3" s="223">
        <v>4292.53</v>
      </c>
    </row>
    <row r="4" spans="1:13" s="224" customFormat="1" thickBot="1" x14ac:dyDescent="0.35">
      <c r="A4" s="221">
        <v>58003</v>
      </c>
      <c r="B4" s="222" t="s">
        <v>155</v>
      </c>
      <c r="C4" s="223">
        <v>275</v>
      </c>
      <c r="D4" s="223">
        <v>267</v>
      </c>
      <c r="E4" s="223">
        <v>262.10000000000002</v>
      </c>
      <c r="F4" s="223">
        <v>251</v>
      </c>
      <c r="G4" s="223">
        <v>251.13</v>
      </c>
      <c r="H4" s="223">
        <v>266.01</v>
      </c>
      <c r="I4" s="223">
        <v>268.01</v>
      </c>
      <c r="J4" s="223">
        <v>265</v>
      </c>
      <c r="K4" s="223">
        <v>235</v>
      </c>
      <c r="L4" s="223">
        <v>226.03</v>
      </c>
      <c r="M4" s="223">
        <v>228.01</v>
      </c>
    </row>
    <row r="5" spans="1:13" s="224" customFormat="1" thickBot="1" x14ac:dyDescent="0.35">
      <c r="A5" s="221">
        <v>61001</v>
      </c>
      <c r="B5" s="222" t="s">
        <v>156</v>
      </c>
      <c r="C5" s="223">
        <v>290.45</v>
      </c>
      <c r="D5" s="223">
        <v>285.58</v>
      </c>
      <c r="E5" s="223">
        <v>279.63</v>
      </c>
      <c r="F5" s="223">
        <v>299.52</v>
      </c>
      <c r="G5" s="223">
        <v>310.27</v>
      </c>
      <c r="H5" s="223">
        <v>338.39</v>
      </c>
      <c r="I5" s="223">
        <v>342.23</v>
      </c>
      <c r="J5" s="223">
        <v>341.24</v>
      </c>
      <c r="K5" s="223">
        <v>336.5</v>
      </c>
      <c r="L5" s="223">
        <v>333</v>
      </c>
      <c r="M5" s="223">
        <v>330.15</v>
      </c>
    </row>
    <row r="6" spans="1:13" s="224" customFormat="1" thickBot="1" x14ac:dyDescent="0.35">
      <c r="A6" s="221">
        <v>11001</v>
      </c>
      <c r="B6" s="222" t="s">
        <v>157</v>
      </c>
      <c r="C6" s="223">
        <v>333</v>
      </c>
      <c r="D6" s="223">
        <v>346</v>
      </c>
      <c r="E6" s="223">
        <v>300</v>
      </c>
      <c r="F6" s="223">
        <v>320</v>
      </c>
      <c r="G6" s="223">
        <v>317</v>
      </c>
      <c r="H6" s="223">
        <v>316</v>
      </c>
      <c r="I6" s="223">
        <v>313</v>
      </c>
      <c r="J6" s="223">
        <v>325</v>
      </c>
      <c r="K6" s="223">
        <v>318</v>
      </c>
      <c r="L6" s="223">
        <v>306</v>
      </c>
      <c r="M6" s="223">
        <v>291</v>
      </c>
    </row>
    <row r="7" spans="1:13" s="224" customFormat="1" thickBot="1" x14ac:dyDescent="0.35">
      <c r="A7" s="221">
        <v>38001</v>
      </c>
      <c r="B7" s="222" t="s">
        <v>158</v>
      </c>
      <c r="C7" s="223">
        <v>281.99</v>
      </c>
      <c r="D7" s="223">
        <v>286</v>
      </c>
      <c r="E7" s="223">
        <v>266</v>
      </c>
      <c r="F7" s="223">
        <v>275</v>
      </c>
      <c r="G7" s="223">
        <v>259</v>
      </c>
      <c r="H7" s="223">
        <v>256</v>
      </c>
      <c r="I7" s="223">
        <v>257</v>
      </c>
      <c r="J7" s="223">
        <v>259</v>
      </c>
      <c r="K7" s="223">
        <v>276</v>
      </c>
      <c r="L7" s="223">
        <v>283</v>
      </c>
      <c r="M7" s="223">
        <v>292.43</v>
      </c>
    </row>
    <row r="8" spans="1:13" s="224" customFormat="1" thickBot="1" x14ac:dyDescent="0.35">
      <c r="A8" s="221">
        <v>21001</v>
      </c>
      <c r="B8" s="222" t="s">
        <v>159</v>
      </c>
      <c r="C8" s="223">
        <v>166</v>
      </c>
      <c r="D8" s="223">
        <v>173</v>
      </c>
      <c r="E8" s="223">
        <v>170</v>
      </c>
      <c r="F8" s="223">
        <v>173</v>
      </c>
      <c r="G8" s="223">
        <v>168</v>
      </c>
      <c r="H8" s="223">
        <v>179</v>
      </c>
      <c r="I8" s="223">
        <v>178</v>
      </c>
      <c r="J8" s="223">
        <v>180</v>
      </c>
      <c r="K8" s="223">
        <v>184.25</v>
      </c>
      <c r="L8" s="223">
        <v>187.8</v>
      </c>
      <c r="M8" s="223">
        <v>196.38</v>
      </c>
    </row>
    <row r="9" spans="1:13" s="224" customFormat="1" thickBot="1" x14ac:dyDescent="0.35">
      <c r="A9" s="221">
        <v>4001</v>
      </c>
      <c r="B9" s="222" t="s">
        <v>160</v>
      </c>
      <c r="C9" s="223">
        <v>261</v>
      </c>
      <c r="D9" s="223">
        <v>251</v>
      </c>
      <c r="E9" s="223">
        <v>238</v>
      </c>
      <c r="F9" s="223">
        <v>256</v>
      </c>
      <c r="G9" s="223">
        <v>233</v>
      </c>
      <c r="H9" s="223">
        <v>232</v>
      </c>
      <c r="I9" s="223">
        <v>225</v>
      </c>
      <c r="J9" s="223">
        <v>233.25</v>
      </c>
      <c r="K9" s="223">
        <v>231.53</v>
      </c>
      <c r="L9" s="223">
        <v>213.2</v>
      </c>
      <c r="M9" s="223">
        <v>213</v>
      </c>
    </row>
    <row r="10" spans="1:13" s="224" customFormat="1" thickBot="1" x14ac:dyDescent="0.35">
      <c r="A10" s="221">
        <v>49001</v>
      </c>
      <c r="B10" s="222" t="s">
        <v>161</v>
      </c>
      <c r="C10" s="223">
        <v>422.51</v>
      </c>
      <c r="D10" s="223">
        <v>459.89</v>
      </c>
      <c r="E10" s="223">
        <v>477</v>
      </c>
      <c r="F10" s="223">
        <v>498</v>
      </c>
      <c r="G10" s="223">
        <v>491</v>
      </c>
      <c r="H10" s="223">
        <v>479</v>
      </c>
      <c r="I10" s="223">
        <v>498</v>
      </c>
      <c r="J10" s="223">
        <v>522</v>
      </c>
      <c r="K10" s="223">
        <v>561</v>
      </c>
      <c r="L10" s="223">
        <v>578.25</v>
      </c>
      <c r="M10" s="223">
        <v>552.25</v>
      </c>
    </row>
    <row r="11" spans="1:13" s="224" customFormat="1" thickBot="1" x14ac:dyDescent="0.35">
      <c r="A11" s="221">
        <v>9001</v>
      </c>
      <c r="B11" s="222" t="s">
        <v>162</v>
      </c>
      <c r="C11" s="223">
        <v>1404.03</v>
      </c>
      <c r="D11" s="223">
        <v>1355.51</v>
      </c>
      <c r="E11" s="223">
        <v>1369</v>
      </c>
      <c r="F11" s="223">
        <v>1373.92</v>
      </c>
      <c r="G11" s="223">
        <v>1385.21</v>
      </c>
      <c r="H11" s="223">
        <v>1361.33</v>
      </c>
      <c r="I11" s="223">
        <v>1379.24</v>
      </c>
      <c r="J11" s="223">
        <v>1369.9</v>
      </c>
      <c r="K11" s="223">
        <v>1343.16</v>
      </c>
      <c r="L11" s="223">
        <v>1332.8</v>
      </c>
      <c r="M11" s="223">
        <v>1302.68</v>
      </c>
    </row>
    <row r="12" spans="1:13" s="224" customFormat="1" thickBot="1" x14ac:dyDescent="0.35">
      <c r="A12" s="221">
        <v>3001</v>
      </c>
      <c r="B12" s="222" t="s">
        <v>163</v>
      </c>
      <c r="C12" s="223">
        <v>493</v>
      </c>
      <c r="D12" s="223">
        <v>482</v>
      </c>
      <c r="E12" s="223">
        <v>470</v>
      </c>
      <c r="F12" s="223">
        <v>480</v>
      </c>
      <c r="G12" s="223">
        <v>481</v>
      </c>
      <c r="H12" s="223">
        <v>442</v>
      </c>
      <c r="I12" s="223">
        <v>513</v>
      </c>
      <c r="J12" s="223">
        <v>488</v>
      </c>
      <c r="K12" s="223">
        <v>501</v>
      </c>
      <c r="L12" s="223">
        <v>467</v>
      </c>
      <c r="M12" s="223">
        <v>460.14</v>
      </c>
    </row>
    <row r="13" spans="1:13" s="224" customFormat="1" thickBot="1" x14ac:dyDescent="0.35">
      <c r="A13" s="221">
        <v>61002</v>
      </c>
      <c r="B13" s="222" t="s">
        <v>164</v>
      </c>
      <c r="C13" s="223">
        <v>650.84</v>
      </c>
      <c r="D13" s="223">
        <v>652</v>
      </c>
      <c r="E13" s="223">
        <v>668</v>
      </c>
      <c r="F13" s="223">
        <v>675</v>
      </c>
      <c r="G13" s="223">
        <v>675.12</v>
      </c>
      <c r="H13" s="223">
        <v>693.33</v>
      </c>
      <c r="I13" s="223">
        <v>704.82</v>
      </c>
      <c r="J13" s="223">
        <v>704.48</v>
      </c>
      <c r="K13" s="223">
        <v>715.24</v>
      </c>
      <c r="L13" s="223">
        <v>709.95</v>
      </c>
      <c r="M13" s="223">
        <v>673.75</v>
      </c>
    </row>
    <row r="14" spans="1:13" s="224" customFormat="1" thickBot="1" x14ac:dyDescent="0.35">
      <c r="A14" s="221">
        <v>25001</v>
      </c>
      <c r="B14" s="222" t="s">
        <v>165</v>
      </c>
      <c r="C14" s="223">
        <v>106.2</v>
      </c>
      <c r="D14" s="223">
        <v>95</v>
      </c>
      <c r="E14" s="223">
        <v>91</v>
      </c>
      <c r="F14" s="223">
        <v>96</v>
      </c>
      <c r="G14" s="223">
        <v>90</v>
      </c>
      <c r="H14" s="223">
        <v>91</v>
      </c>
      <c r="I14" s="223">
        <v>89</v>
      </c>
      <c r="J14" s="223">
        <v>70</v>
      </c>
      <c r="K14" s="223">
        <v>86</v>
      </c>
      <c r="L14" s="223">
        <v>74</v>
      </c>
      <c r="M14" s="223">
        <v>77</v>
      </c>
    </row>
    <row r="15" spans="1:13" s="224" customFormat="1" thickBot="1" x14ac:dyDescent="0.35">
      <c r="A15" s="221">
        <v>52001</v>
      </c>
      <c r="B15" s="222" t="s">
        <v>166</v>
      </c>
      <c r="C15" s="223">
        <v>143</v>
      </c>
      <c r="D15" s="223">
        <v>148</v>
      </c>
      <c r="E15" s="223">
        <v>148</v>
      </c>
      <c r="F15" s="223">
        <v>149</v>
      </c>
      <c r="G15" s="223">
        <v>152</v>
      </c>
      <c r="H15" s="223">
        <v>146</v>
      </c>
      <c r="I15" s="223">
        <v>141</v>
      </c>
      <c r="J15" s="223">
        <v>141</v>
      </c>
      <c r="K15" s="223">
        <v>137</v>
      </c>
      <c r="L15" s="223">
        <v>134.4</v>
      </c>
      <c r="M15" s="223">
        <v>137</v>
      </c>
    </row>
    <row r="16" spans="1:13" s="224" customFormat="1" thickBot="1" x14ac:dyDescent="0.35">
      <c r="A16" s="221">
        <v>4002</v>
      </c>
      <c r="B16" s="222" t="s">
        <v>167</v>
      </c>
      <c r="C16" s="223">
        <v>524.42999999999995</v>
      </c>
      <c r="D16" s="223">
        <v>523.02</v>
      </c>
      <c r="E16" s="223">
        <v>485.51</v>
      </c>
      <c r="F16" s="223">
        <v>510</v>
      </c>
      <c r="G16" s="223">
        <v>524</v>
      </c>
      <c r="H16" s="223">
        <v>531</v>
      </c>
      <c r="I16" s="223">
        <v>512</v>
      </c>
      <c r="J16" s="223">
        <v>495</v>
      </c>
      <c r="K16" s="223">
        <v>540</v>
      </c>
      <c r="L16" s="223">
        <v>551</v>
      </c>
      <c r="M16" s="223">
        <v>548</v>
      </c>
    </row>
    <row r="17" spans="1:13" s="224" customFormat="1" thickBot="1" x14ac:dyDescent="0.35">
      <c r="A17" s="221">
        <v>22001</v>
      </c>
      <c r="B17" s="222" t="s">
        <v>168</v>
      </c>
      <c r="C17" s="223">
        <v>128.19999999999999</v>
      </c>
      <c r="D17" s="223">
        <v>121</v>
      </c>
      <c r="E17" s="223">
        <v>122.2</v>
      </c>
      <c r="F17" s="223">
        <v>110.2</v>
      </c>
      <c r="G17" s="223">
        <v>109</v>
      </c>
      <c r="H17" s="223">
        <v>109</v>
      </c>
      <c r="I17" s="223">
        <v>112</v>
      </c>
      <c r="J17" s="223">
        <v>118.26</v>
      </c>
      <c r="K17" s="223">
        <v>118</v>
      </c>
      <c r="L17" s="223">
        <v>112</v>
      </c>
      <c r="M17" s="223">
        <v>98.13</v>
      </c>
    </row>
    <row r="18" spans="1:13" s="224" customFormat="1" thickBot="1" x14ac:dyDescent="0.35">
      <c r="A18" s="221">
        <v>49002</v>
      </c>
      <c r="B18" s="222" t="s">
        <v>169</v>
      </c>
      <c r="C18" s="223">
        <v>3584.99</v>
      </c>
      <c r="D18" s="223">
        <v>3639.46</v>
      </c>
      <c r="E18" s="223">
        <v>3778.09</v>
      </c>
      <c r="F18" s="223">
        <v>3932.2</v>
      </c>
      <c r="G18" s="223">
        <v>4057.03</v>
      </c>
      <c r="H18" s="223">
        <v>4249.75</v>
      </c>
      <c r="I18" s="223">
        <v>4427.13</v>
      </c>
      <c r="J18" s="223">
        <v>4681.8</v>
      </c>
      <c r="K18" s="223">
        <v>4866.7</v>
      </c>
      <c r="L18" s="223">
        <v>4981.6499999999996</v>
      </c>
      <c r="M18" s="223">
        <v>5016.5200000000004</v>
      </c>
    </row>
    <row r="19" spans="1:13" s="224" customFormat="1" thickBot="1" x14ac:dyDescent="0.35">
      <c r="A19" s="221">
        <v>30003</v>
      </c>
      <c r="B19" s="222" t="s">
        <v>170</v>
      </c>
      <c r="C19" s="223">
        <v>332.6</v>
      </c>
      <c r="D19" s="223">
        <v>329.6</v>
      </c>
      <c r="E19" s="223">
        <v>322</v>
      </c>
      <c r="F19" s="223">
        <v>322.10000000000002</v>
      </c>
      <c r="G19" s="223">
        <v>334.1</v>
      </c>
      <c r="H19" s="223">
        <v>340</v>
      </c>
      <c r="I19" s="223">
        <v>318.2</v>
      </c>
      <c r="J19" s="223">
        <v>335</v>
      </c>
      <c r="K19" s="223">
        <v>330</v>
      </c>
      <c r="L19" s="223">
        <v>327</v>
      </c>
      <c r="M19" s="223">
        <v>333.1</v>
      </c>
    </row>
    <row r="20" spans="1:13" s="224" customFormat="1" thickBot="1" x14ac:dyDescent="0.35">
      <c r="A20" s="221">
        <v>45004</v>
      </c>
      <c r="B20" s="222" t="s">
        <v>171</v>
      </c>
      <c r="C20" s="223">
        <v>460.5</v>
      </c>
      <c r="D20" s="223">
        <v>450.99</v>
      </c>
      <c r="E20" s="223">
        <v>432.12</v>
      </c>
      <c r="F20" s="223">
        <v>409.24</v>
      </c>
      <c r="G20" s="223">
        <v>414.24</v>
      </c>
      <c r="H20" s="223">
        <v>418.75</v>
      </c>
      <c r="I20" s="223">
        <v>419.24</v>
      </c>
      <c r="J20" s="223">
        <v>434.1</v>
      </c>
      <c r="K20" s="223">
        <v>453.14</v>
      </c>
      <c r="L20" s="223">
        <v>477.13</v>
      </c>
      <c r="M20" s="223">
        <v>481</v>
      </c>
    </row>
    <row r="21" spans="1:13" s="224" customFormat="1" thickBot="1" x14ac:dyDescent="0.35">
      <c r="A21" s="221">
        <v>5001</v>
      </c>
      <c r="B21" s="222" t="s">
        <v>172</v>
      </c>
      <c r="C21" s="223">
        <v>3184.6</v>
      </c>
      <c r="D21" s="223">
        <v>3277.5</v>
      </c>
      <c r="E21" s="223">
        <v>3354.41</v>
      </c>
      <c r="F21" s="223">
        <v>3341.87</v>
      </c>
      <c r="G21" s="223">
        <v>3402.6</v>
      </c>
      <c r="H21" s="223">
        <v>3402.03</v>
      </c>
      <c r="I21" s="223">
        <v>3408.2</v>
      </c>
      <c r="J21" s="223">
        <v>3343.5</v>
      </c>
      <c r="K21" s="223">
        <v>3395.26</v>
      </c>
      <c r="L21" s="223">
        <v>3441.29</v>
      </c>
      <c r="M21" s="223">
        <v>3455.9</v>
      </c>
    </row>
    <row r="22" spans="1:13" s="224" customFormat="1" thickBot="1" x14ac:dyDescent="0.35">
      <c r="A22" s="221">
        <v>26002</v>
      </c>
      <c r="B22" s="222" t="s">
        <v>173</v>
      </c>
      <c r="C22" s="223">
        <v>200</v>
      </c>
      <c r="D22" s="223">
        <v>221</v>
      </c>
      <c r="E22" s="223">
        <v>219</v>
      </c>
      <c r="F22" s="223">
        <v>220</v>
      </c>
      <c r="G22" s="223">
        <v>229</v>
      </c>
      <c r="H22" s="223">
        <v>243</v>
      </c>
      <c r="I22" s="223">
        <v>247</v>
      </c>
      <c r="J22" s="223">
        <v>227</v>
      </c>
      <c r="K22" s="223">
        <v>225.44</v>
      </c>
      <c r="L22" s="223">
        <v>221.6</v>
      </c>
      <c r="M22" s="223">
        <v>206.29</v>
      </c>
    </row>
    <row r="23" spans="1:13" s="224" customFormat="1" thickBot="1" x14ac:dyDescent="0.35">
      <c r="A23" s="221">
        <v>43001</v>
      </c>
      <c r="B23" s="222" t="s">
        <v>174</v>
      </c>
      <c r="C23" s="223">
        <v>217</v>
      </c>
      <c r="D23" s="223">
        <v>211.29</v>
      </c>
      <c r="E23" s="223">
        <v>216.09</v>
      </c>
      <c r="F23" s="223">
        <v>202.22</v>
      </c>
      <c r="G23" s="223">
        <v>210.53</v>
      </c>
      <c r="H23" s="223">
        <v>193</v>
      </c>
      <c r="I23" s="223">
        <v>216.54</v>
      </c>
      <c r="J23" s="223">
        <v>219.13</v>
      </c>
      <c r="K23" s="223">
        <v>248.42</v>
      </c>
      <c r="L23" s="223">
        <v>277.63</v>
      </c>
      <c r="M23" s="223">
        <v>303.57</v>
      </c>
    </row>
    <row r="24" spans="1:13" s="224" customFormat="1" thickBot="1" x14ac:dyDescent="0.35">
      <c r="A24" s="221">
        <v>41001</v>
      </c>
      <c r="B24" s="222" t="s">
        <v>175</v>
      </c>
      <c r="C24" s="223">
        <v>859.3</v>
      </c>
      <c r="D24" s="223">
        <v>901.7</v>
      </c>
      <c r="E24" s="223">
        <v>884</v>
      </c>
      <c r="F24" s="223">
        <v>880.5</v>
      </c>
      <c r="G24" s="223">
        <v>877.25</v>
      </c>
      <c r="H24" s="223">
        <v>872.88</v>
      </c>
      <c r="I24" s="223">
        <v>900.5</v>
      </c>
      <c r="J24" s="223">
        <v>874</v>
      </c>
      <c r="K24" s="223">
        <v>885</v>
      </c>
      <c r="L24" s="223">
        <v>879.55</v>
      </c>
      <c r="M24" s="223">
        <v>886.88</v>
      </c>
    </row>
    <row r="25" spans="1:13" s="224" customFormat="1" thickBot="1" x14ac:dyDescent="0.35">
      <c r="A25" s="221">
        <v>28001</v>
      </c>
      <c r="B25" s="222" t="s">
        <v>176</v>
      </c>
      <c r="C25" s="223">
        <v>260</v>
      </c>
      <c r="D25" s="223">
        <v>261</v>
      </c>
      <c r="E25" s="223">
        <v>254</v>
      </c>
      <c r="F25" s="223">
        <v>274</v>
      </c>
      <c r="G25" s="223">
        <v>288</v>
      </c>
      <c r="H25" s="223">
        <v>294</v>
      </c>
      <c r="I25" s="223">
        <v>301</v>
      </c>
      <c r="J25" s="223">
        <v>314</v>
      </c>
      <c r="K25" s="223">
        <v>319.29000000000002</v>
      </c>
      <c r="L25" s="223">
        <v>330</v>
      </c>
      <c r="M25" s="223">
        <v>323.16000000000003</v>
      </c>
    </row>
    <row r="26" spans="1:13" s="224" customFormat="1" thickBot="1" x14ac:dyDescent="0.35">
      <c r="A26" s="221">
        <v>60001</v>
      </c>
      <c r="B26" s="222" t="s">
        <v>177</v>
      </c>
      <c r="C26" s="223">
        <v>222</v>
      </c>
      <c r="D26" s="223">
        <v>228.13</v>
      </c>
      <c r="E26" s="223">
        <v>227.13</v>
      </c>
      <c r="F26" s="223">
        <v>225.13</v>
      </c>
      <c r="G26" s="223">
        <v>266.39</v>
      </c>
      <c r="H26" s="223">
        <v>273.39</v>
      </c>
      <c r="I26" s="223">
        <v>277.06</v>
      </c>
      <c r="J26" s="223">
        <v>283.13</v>
      </c>
      <c r="K26" s="223">
        <v>280.13</v>
      </c>
      <c r="L26" s="223">
        <v>282</v>
      </c>
      <c r="M26" s="223">
        <v>266</v>
      </c>
    </row>
    <row r="27" spans="1:13" s="224" customFormat="1" thickBot="1" x14ac:dyDescent="0.35">
      <c r="A27" s="221">
        <v>7001</v>
      </c>
      <c r="B27" s="222" t="s">
        <v>178</v>
      </c>
      <c r="C27" s="223">
        <v>911</v>
      </c>
      <c r="D27" s="223">
        <v>879.21</v>
      </c>
      <c r="E27" s="223">
        <v>902.51</v>
      </c>
      <c r="F27" s="223">
        <v>872.28</v>
      </c>
      <c r="G27" s="223">
        <v>900.08</v>
      </c>
      <c r="H27" s="223">
        <v>885.51</v>
      </c>
      <c r="I27" s="223">
        <v>870.2</v>
      </c>
      <c r="J27" s="223">
        <v>876.6</v>
      </c>
      <c r="K27" s="223">
        <v>868.92</v>
      </c>
      <c r="L27" s="223">
        <v>855.25</v>
      </c>
      <c r="M27" s="223">
        <v>846.66</v>
      </c>
    </row>
    <row r="28" spans="1:13" s="224" customFormat="1" thickBot="1" x14ac:dyDescent="0.35">
      <c r="A28" s="221">
        <v>39001</v>
      </c>
      <c r="B28" s="222" t="s">
        <v>309</v>
      </c>
      <c r="C28" s="223">
        <v>564.4</v>
      </c>
      <c r="D28" s="223">
        <v>611</v>
      </c>
      <c r="E28" s="223">
        <v>587</v>
      </c>
      <c r="F28" s="223">
        <v>586</v>
      </c>
      <c r="G28" s="223">
        <v>561</v>
      </c>
      <c r="H28" s="223">
        <v>531</v>
      </c>
      <c r="I28" s="223">
        <v>550</v>
      </c>
      <c r="J28" s="223">
        <v>544</v>
      </c>
      <c r="K28" s="223">
        <v>541</v>
      </c>
      <c r="L28" s="223">
        <v>545</v>
      </c>
      <c r="M28" s="223">
        <v>512</v>
      </c>
    </row>
    <row r="29" spans="1:13" s="224" customFormat="1" thickBot="1" x14ac:dyDescent="0.35">
      <c r="A29" s="221">
        <v>12002</v>
      </c>
      <c r="B29" s="222" t="s">
        <v>180</v>
      </c>
      <c r="C29" s="223">
        <v>372</v>
      </c>
      <c r="D29" s="223">
        <v>369</v>
      </c>
      <c r="E29" s="223">
        <v>369</v>
      </c>
      <c r="F29" s="223">
        <v>351</v>
      </c>
      <c r="G29" s="223">
        <v>356</v>
      </c>
      <c r="H29" s="223">
        <v>376</v>
      </c>
      <c r="I29" s="223">
        <v>411</v>
      </c>
      <c r="J29" s="223">
        <v>438</v>
      </c>
      <c r="K29" s="223">
        <v>449</v>
      </c>
      <c r="L29" s="223">
        <v>450</v>
      </c>
      <c r="M29" s="223">
        <v>467</v>
      </c>
    </row>
    <row r="30" spans="1:13" s="224" customFormat="1" thickBot="1" x14ac:dyDescent="0.35">
      <c r="A30" s="221">
        <v>50005</v>
      </c>
      <c r="B30" s="222" t="s">
        <v>181</v>
      </c>
      <c r="C30" s="223">
        <v>243</v>
      </c>
      <c r="D30" s="223">
        <v>259</v>
      </c>
      <c r="E30" s="223">
        <v>259</v>
      </c>
      <c r="F30" s="223">
        <v>250</v>
      </c>
      <c r="G30" s="223">
        <v>247</v>
      </c>
      <c r="H30" s="223">
        <v>252.6</v>
      </c>
      <c r="I30" s="223">
        <v>274.39999999999998</v>
      </c>
      <c r="J30" s="223">
        <v>279.39999999999998</v>
      </c>
      <c r="K30" s="223">
        <v>274.91000000000003</v>
      </c>
      <c r="L30" s="223">
        <v>293.39999999999998</v>
      </c>
      <c r="M30" s="223">
        <v>304.99</v>
      </c>
    </row>
    <row r="31" spans="1:13" s="224" customFormat="1" thickBot="1" x14ac:dyDescent="0.35">
      <c r="A31" s="221">
        <v>59003</v>
      </c>
      <c r="B31" s="222" t="s">
        <v>182</v>
      </c>
      <c r="C31" s="223">
        <v>248</v>
      </c>
      <c r="D31" s="223">
        <v>239</v>
      </c>
      <c r="E31" s="223">
        <v>234</v>
      </c>
      <c r="F31" s="223">
        <v>228</v>
      </c>
      <c r="G31" s="223">
        <v>224</v>
      </c>
      <c r="H31" s="223">
        <v>229</v>
      </c>
      <c r="I31" s="223">
        <v>219.6</v>
      </c>
      <c r="J31" s="223">
        <v>202</v>
      </c>
      <c r="K31" s="223">
        <v>191</v>
      </c>
      <c r="L31" s="223">
        <v>163.19999999999999</v>
      </c>
      <c r="M31" s="223">
        <v>149</v>
      </c>
    </row>
    <row r="32" spans="1:13" s="224" customFormat="1" thickBot="1" x14ac:dyDescent="0.35">
      <c r="A32" s="221">
        <v>21003</v>
      </c>
      <c r="B32" s="222" t="s">
        <v>183</v>
      </c>
      <c r="C32" s="223"/>
      <c r="D32" s="223"/>
      <c r="E32" s="223">
        <v>230</v>
      </c>
      <c r="F32" s="223">
        <v>246</v>
      </c>
      <c r="G32" s="223">
        <v>251</v>
      </c>
      <c r="H32" s="223">
        <v>253</v>
      </c>
      <c r="I32" s="223">
        <v>255</v>
      </c>
      <c r="J32" s="223">
        <v>258</v>
      </c>
      <c r="K32" s="223">
        <v>267</v>
      </c>
      <c r="L32" s="223">
        <v>247.24</v>
      </c>
      <c r="M32" s="223">
        <v>252.5</v>
      </c>
    </row>
    <row r="33" spans="1:13" s="224" customFormat="1" thickBot="1" x14ac:dyDescent="0.35">
      <c r="A33" s="221">
        <v>16001</v>
      </c>
      <c r="B33" s="222" t="s">
        <v>184</v>
      </c>
      <c r="C33" s="223">
        <v>857.14</v>
      </c>
      <c r="D33" s="223">
        <v>863.73</v>
      </c>
      <c r="E33" s="223">
        <v>873.38</v>
      </c>
      <c r="F33" s="223">
        <v>881.16</v>
      </c>
      <c r="G33" s="223">
        <v>897.02</v>
      </c>
      <c r="H33" s="223">
        <v>958.86</v>
      </c>
      <c r="I33" s="223">
        <v>929.82</v>
      </c>
      <c r="J33" s="223">
        <v>890.66</v>
      </c>
      <c r="K33" s="223">
        <v>922.99</v>
      </c>
      <c r="L33" s="223">
        <v>913.44</v>
      </c>
      <c r="M33" s="223">
        <v>910.87</v>
      </c>
    </row>
    <row r="34" spans="1:13" s="224" customFormat="1" thickBot="1" x14ac:dyDescent="0.35">
      <c r="A34" s="221">
        <v>61008</v>
      </c>
      <c r="B34" s="222" t="s">
        <v>185</v>
      </c>
      <c r="C34" s="223">
        <v>1235.8399999999999</v>
      </c>
      <c r="D34" s="223">
        <v>1252.8800000000001</v>
      </c>
      <c r="E34" s="223">
        <v>1285.48</v>
      </c>
      <c r="F34" s="223">
        <v>1294.78</v>
      </c>
      <c r="G34" s="223">
        <v>1300.47</v>
      </c>
      <c r="H34" s="223">
        <v>1355.41</v>
      </c>
      <c r="I34" s="223">
        <v>1381</v>
      </c>
      <c r="J34" s="223">
        <v>1379.3</v>
      </c>
      <c r="K34" s="223">
        <v>1375.5</v>
      </c>
      <c r="L34" s="223">
        <v>1392.46</v>
      </c>
      <c r="M34" s="223">
        <v>1386.66</v>
      </c>
    </row>
    <row r="35" spans="1:13" s="224" customFormat="1" thickBot="1" x14ac:dyDescent="0.35">
      <c r="A35" s="221">
        <v>38002</v>
      </c>
      <c r="B35" s="222" t="s">
        <v>186</v>
      </c>
      <c r="C35" s="223">
        <v>314</v>
      </c>
      <c r="D35" s="223">
        <v>307</v>
      </c>
      <c r="E35" s="223">
        <v>286</v>
      </c>
      <c r="F35" s="223">
        <v>308</v>
      </c>
      <c r="G35" s="223">
        <v>302</v>
      </c>
      <c r="H35" s="223">
        <v>285</v>
      </c>
      <c r="I35" s="223">
        <v>278</v>
      </c>
      <c r="J35" s="223">
        <v>284</v>
      </c>
      <c r="K35" s="223">
        <v>298.26</v>
      </c>
      <c r="L35" s="223">
        <v>311.26</v>
      </c>
      <c r="M35" s="223">
        <v>337</v>
      </c>
    </row>
    <row r="36" spans="1:13" s="224" customFormat="1" thickBot="1" x14ac:dyDescent="0.35">
      <c r="A36" s="221">
        <v>49003</v>
      </c>
      <c r="B36" s="222" t="s">
        <v>187</v>
      </c>
      <c r="C36" s="223">
        <v>919.18</v>
      </c>
      <c r="D36" s="223">
        <v>913.18</v>
      </c>
      <c r="E36" s="223">
        <v>902.88</v>
      </c>
      <c r="F36" s="223">
        <v>912.02</v>
      </c>
      <c r="G36" s="223">
        <v>938.13</v>
      </c>
      <c r="H36" s="223">
        <v>951.27</v>
      </c>
      <c r="I36" s="223">
        <v>992.1</v>
      </c>
      <c r="J36" s="223">
        <v>982.16</v>
      </c>
      <c r="K36" s="223">
        <v>988.38</v>
      </c>
      <c r="L36" s="223">
        <v>989.72</v>
      </c>
      <c r="M36" s="223">
        <v>981.94</v>
      </c>
    </row>
    <row r="37" spans="1:13" s="224" customFormat="1" thickBot="1" x14ac:dyDescent="0.35">
      <c r="A37" s="221">
        <v>5006</v>
      </c>
      <c r="B37" s="222" t="s">
        <v>308</v>
      </c>
      <c r="C37" s="223">
        <v>344</v>
      </c>
      <c r="D37" s="223">
        <v>368</v>
      </c>
      <c r="E37" s="223">
        <v>367</v>
      </c>
      <c r="F37" s="223">
        <v>344</v>
      </c>
      <c r="G37" s="223">
        <v>365</v>
      </c>
      <c r="H37" s="223">
        <v>379</v>
      </c>
      <c r="I37" s="223">
        <v>363</v>
      </c>
      <c r="J37" s="223">
        <v>386</v>
      </c>
      <c r="K37" s="223">
        <v>391</v>
      </c>
      <c r="L37" s="223">
        <v>399</v>
      </c>
      <c r="M37" s="223">
        <v>400</v>
      </c>
    </row>
    <row r="38" spans="1:13" s="224" customFormat="1" thickBot="1" x14ac:dyDescent="0.35">
      <c r="A38" s="221">
        <v>19004</v>
      </c>
      <c r="B38" s="222" t="s">
        <v>189</v>
      </c>
      <c r="C38" s="223">
        <v>499</v>
      </c>
      <c r="D38" s="223">
        <v>509.51</v>
      </c>
      <c r="E38" s="223">
        <v>502.85</v>
      </c>
      <c r="F38" s="223">
        <v>482</v>
      </c>
      <c r="G38" s="223">
        <v>490.25</v>
      </c>
      <c r="H38" s="223">
        <v>513.25</v>
      </c>
      <c r="I38" s="223">
        <v>502.25</v>
      </c>
      <c r="J38" s="223">
        <v>519.25</v>
      </c>
      <c r="K38" s="223">
        <v>529</v>
      </c>
      <c r="L38" s="223">
        <v>510</v>
      </c>
      <c r="M38" s="223">
        <v>512</v>
      </c>
    </row>
    <row r="39" spans="1:13" s="224" customFormat="1" thickBot="1" x14ac:dyDescent="0.35">
      <c r="A39" s="221">
        <v>56002</v>
      </c>
      <c r="B39" s="222" t="s">
        <v>190</v>
      </c>
      <c r="C39" s="223">
        <v>167</v>
      </c>
      <c r="D39" s="223">
        <v>167</v>
      </c>
      <c r="E39" s="223">
        <v>179</v>
      </c>
      <c r="F39" s="223">
        <v>170</v>
      </c>
      <c r="G39" s="223">
        <v>174</v>
      </c>
      <c r="H39" s="223">
        <v>160</v>
      </c>
      <c r="I39" s="223">
        <v>151</v>
      </c>
      <c r="J39" s="223">
        <v>139</v>
      </c>
      <c r="K39" s="223">
        <v>143</v>
      </c>
      <c r="L39" s="223">
        <v>142</v>
      </c>
      <c r="M39" s="223">
        <v>140</v>
      </c>
    </row>
    <row r="40" spans="1:13" s="224" customFormat="1" thickBot="1" x14ac:dyDescent="0.35">
      <c r="A40" s="221">
        <v>51001</v>
      </c>
      <c r="B40" s="222" t="s">
        <v>191</v>
      </c>
      <c r="C40" s="223">
        <v>2655</v>
      </c>
      <c r="D40" s="223">
        <v>2676.15</v>
      </c>
      <c r="E40" s="223">
        <v>2759</v>
      </c>
      <c r="F40" s="223">
        <v>2788</v>
      </c>
      <c r="G40" s="223">
        <v>2924.58</v>
      </c>
      <c r="H40" s="223">
        <v>2907</v>
      </c>
      <c r="I40" s="223">
        <v>2838</v>
      </c>
      <c r="J40" s="223">
        <v>2758</v>
      </c>
      <c r="K40" s="223">
        <v>2804.14</v>
      </c>
      <c r="L40" s="223">
        <v>2750</v>
      </c>
      <c r="M40" s="223">
        <v>2755.28</v>
      </c>
    </row>
    <row r="41" spans="1:13" s="224" customFormat="1" thickBot="1" x14ac:dyDescent="0.35">
      <c r="A41" s="221">
        <v>64002</v>
      </c>
      <c r="B41" s="222" t="s">
        <v>192</v>
      </c>
      <c r="C41" s="223">
        <v>377</v>
      </c>
      <c r="D41" s="223">
        <v>368</v>
      </c>
      <c r="E41" s="223">
        <v>380</v>
      </c>
      <c r="F41" s="223">
        <v>389</v>
      </c>
      <c r="G41" s="223">
        <v>374.95</v>
      </c>
      <c r="H41" s="223">
        <v>362</v>
      </c>
      <c r="I41" s="223">
        <v>380</v>
      </c>
      <c r="J41" s="223">
        <v>397</v>
      </c>
      <c r="K41" s="223">
        <v>369</v>
      </c>
      <c r="L41" s="223">
        <v>378</v>
      </c>
      <c r="M41" s="223">
        <v>364.87</v>
      </c>
    </row>
    <row r="42" spans="1:13" s="224" customFormat="1" thickBot="1" x14ac:dyDescent="0.35">
      <c r="A42" s="221">
        <v>20001</v>
      </c>
      <c r="B42" s="222" t="s">
        <v>193</v>
      </c>
      <c r="C42" s="223">
        <v>333</v>
      </c>
      <c r="D42" s="223">
        <v>339</v>
      </c>
      <c r="E42" s="223">
        <v>353.02</v>
      </c>
      <c r="F42" s="223">
        <v>331.02</v>
      </c>
      <c r="G42" s="223">
        <v>355.01</v>
      </c>
      <c r="H42" s="223">
        <v>345.01</v>
      </c>
      <c r="I42" s="223">
        <v>340</v>
      </c>
      <c r="J42" s="223">
        <v>318.83999999999997</v>
      </c>
      <c r="K42" s="223">
        <v>333.84</v>
      </c>
      <c r="L42" s="223">
        <v>363</v>
      </c>
      <c r="M42" s="223">
        <v>380</v>
      </c>
    </row>
    <row r="43" spans="1:13" s="224" customFormat="1" thickBot="1" x14ac:dyDescent="0.35">
      <c r="A43" s="221">
        <v>23001</v>
      </c>
      <c r="B43" s="222" t="s">
        <v>194</v>
      </c>
      <c r="C43" s="223">
        <v>164</v>
      </c>
      <c r="D43" s="223">
        <v>156</v>
      </c>
      <c r="E43" s="223">
        <v>150</v>
      </c>
      <c r="F43" s="223">
        <v>142.13999999999999</v>
      </c>
      <c r="G43" s="223">
        <v>153.29</v>
      </c>
      <c r="H43" s="223">
        <v>159.13999999999999</v>
      </c>
      <c r="I43" s="223">
        <v>161</v>
      </c>
      <c r="J43" s="223">
        <v>158</v>
      </c>
      <c r="K43" s="223">
        <v>159</v>
      </c>
      <c r="L43" s="223">
        <v>147</v>
      </c>
      <c r="M43" s="223">
        <v>122</v>
      </c>
    </row>
    <row r="44" spans="1:13" s="224" customFormat="1" thickBot="1" x14ac:dyDescent="0.35">
      <c r="A44" s="221">
        <v>22005</v>
      </c>
      <c r="B44" s="222" t="s">
        <v>195</v>
      </c>
      <c r="C44" s="223">
        <v>133</v>
      </c>
      <c r="D44" s="223">
        <v>130</v>
      </c>
      <c r="E44" s="223">
        <v>132</v>
      </c>
      <c r="F44" s="223">
        <v>128</v>
      </c>
      <c r="G44" s="223">
        <v>147</v>
      </c>
      <c r="H44" s="223">
        <v>140</v>
      </c>
      <c r="I44" s="223">
        <v>132</v>
      </c>
      <c r="J44" s="223">
        <v>140</v>
      </c>
      <c r="K44" s="223">
        <v>130</v>
      </c>
      <c r="L44" s="223">
        <v>131</v>
      </c>
      <c r="M44" s="223">
        <v>132</v>
      </c>
    </row>
    <row r="45" spans="1:13" s="224" customFormat="1" thickBot="1" x14ac:dyDescent="0.35">
      <c r="A45" s="221">
        <v>16002</v>
      </c>
      <c r="B45" s="222" t="s">
        <v>196</v>
      </c>
      <c r="C45" s="223">
        <v>12</v>
      </c>
      <c r="D45" s="223">
        <v>6</v>
      </c>
      <c r="E45" s="223">
        <v>7</v>
      </c>
      <c r="F45" s="223">
        <v>11</v>
      </c>
      <c r="G45" s="223">
        <v>10</v>
      </c>
      <c r="H45" s="223">
        <v>13</v>
      </c>
      <c r="I45" s="223">
        <v>8</v>
      </c>
      <c r="J45" s="223">
        <v>9</v>
      </c>
      <c r="K45" s="223">
        <v>11</v>
      </c>
      <c r="L45" s="223">
        <v>10</v>
      </c>
      <c r="M45" s="223">
        <v>14.71</v>
      </c>
    </row>
    <row r="46" spans="1:13" s="224" customFormat="1" thickBot="1" x14ac:dyDescent="0.35">
      <c r="A46" s="221">
        <v>61007</v>
      </c>
      <c r="B46" s="222" t="s">
        <v>197</v>
      </c>
      <c r="C46" s="223">
        <v>688.86</v>
      </c>
      <c r="D46" s="223">
        <v>705</v>
      </c>
      <c r="E46" s="223">
        <v>686</v>
      </c>
      <c r="F46" s="223">
        <v>655</v>
      </c>
      <c r="G46" s="223">
        <v>687</v>
      </c>
      <c r="H46" s="223">
        <v>687</v>
      </c>
      <c r="I46" s="223">
        <v>690</v>
      </c>
      <c r="J46" s="223">
        <v>696</v>
      </c>
      <c r="K46" s="223">
        <v>693</v>
      </c>
      <c r="L46" s="223">
        <v>686</v>
      </c>
      <c r="M46" s="223">
        <v>687</v>
      </c>
    </row>
    <row r="47" spans="1:13" s="224" customFormat="1" thickBot="1" x14ac:dyDescent="0.35">
      <c r="A47" s="221">
        <v>5003</v>
      </c>
      <c r="B47" s="222" t="s">
        <v>198</v>
      </c>
      <c r="C47" s="223">
        <v>260</v>
      </c>
      <c r="D47" s="223">
        <v>267</v>
      </c>
      <c r="E47" s="223">
        <v>279</v>
      </c>
      <c r="F47" s="223">
        <v>298</v>
      </c>
      <c r="G47" s="223">
        <v>310</v>
      </c>
      <c r="H47" s="223">
        <v>322</v>
      </c>
      <c r="I47" s="223">
        <v>337</v>
      </c>
      <c r="J47" s="223">
        <v>328</v>
      </c>
      <c r="K47" s="223">
        <v>347</v>
      </c>
      <c r="L47" s="223">
        <v>354.25</v>
      </c>
      <c r="M47" s="223">
        <v>363.15</v>
      </c>
    </row>
    <row r="48" spans="1:13" s="224" customFormat="1" thickBot="1" x14ac:dyDescent="0.35">
      <c r="A48" s="221">
        <v>28002</v>
      </c>
      <c r="B48" s="222" t="s">
        <v>199</v>
      </c>
      <c r="C48" s="223">
        <v>254</v>
      </c>
      <c r="D48" s="223">
        <v>254</v>
      </c>
      <c r="E48" s="223">
        <v>245</v>
      </c>
      <c r="F48" s="223">
        <v>261</v>
      </c>
      <c r="G48" s="223">
        <v>271</v>
      </c>
      <c r="H48" s="223">
        <v>261</v>
      </c>
      <c r="I48" s="223">
        <v>265</v>
      </c>
      <c r="J48" s="223">
        <v>273</v>
      </c>
      <c r="K48" s="223">
        <v>262.13</v>
      </c>
      <c r="L48" s="223">
        <v>267.13</v>
      </c>
      <c r="M48" s="223">
        <v>262.57</v>
      </c>
    </row>
    <row r="49" spans="1:13" s="224" customFormat="1" thickBot="1" x14ac:dyDescent="0.35">
      <c r="A49" s="221">
        <v>17001</v>
      </c>
      <c r="B49" s="222" t="s">
        <v>200</v>
      </c>
      <c r="C49" s="223">
        <v>245.6</v>
      </c>
      <c r="D49" s="223">
        <v>240.6</v>
      </c>
      <c r="E49" s="223">
        <v>239</v>
      </c>
      <c r="F49" s="223">
        <v>250</v>
      </c>
      <c r="G49" s="223">
        <v>248</v>
      </c>
      <c r="H49" s="223">
        <v>269.8</v>
      </c>
      <c r="I49" s="223">
        <v>272.5</v>
      </c>
      <c r="J49" s="223">
        <v>270.5</v>
      </c>
      <c r="K49" s="223">
        <v>274</v>
      </c>
      <c r="L49" s="223">
        <v>270</v>
      </c>
      <c r="M49" s="223">
        <v>279</v>
      </c>
    </row>
    <row r="50" spans="1:13" s="224" customFormat="1" thickBot="1" x14ac:dyDescent="0.35">
      <c r="A50" s="221">
        <v>44001</v>
      </c>
      <c r="B50" s="222" t="s">
        <v>201</v>
      </c>
      <c r="C50" s="223">
        <v>140</v>
      </c>
      <c r="D50" s="223">
        <v>135</v>
      </c>
      <c r="E50" s="223">
        <v>138</v>
      </c>
      <c r="F50" s="223">
        <v>151</v>
      </c>
      <c r="G50" s="223">
        <v>153</v>
      </c>
      <c r="H50" s="223">
        <v>156.97999999999999</v>
      </c>
      <c r="I50" s="223">
        <v>153.30000000000001</v>
      </c>
      <c r="J50" s="223">
        <v>148.19999999999999</v>
      </c>
      <c r="K50" s="223">
        <v>154.19999999999999</v>
      </c>
      <c r="L50" s="223">
        <v>151.5</v>
      </c>
      <c r="M50" s="223">
        <v>158</v>
      </c>
    </row>
    <row r="51" spans="1:13" s="224" customFormat="1" thickBot="1" x14ac:dyDescent="0.35">
      <c r="A51" s="221">
        <v>46002</v>
      </c>
      <c r="B51" s="222" t="s">
        <v>202</v>
      </c>
      <c r="C51" s="223">
        <v>188</v>
      </c>
      <c r="D51" s="223">
        <v>196</v>
      </c>
      <c r="E51" s="223">
        <v>185</v>
      </c>
      <c r="F51" s="223">
        <v>173</v>
      </c>
      <c r="G51" s="223">
        <v>164</v>
      </c>
      <c r="H51" s="223">
        <v>177</v>
      </c>
      <c r="I51" s="223">
        <v>175</v>
      </c>
      <c r="J51" s="223">
        <v>184</v>
      </c>
      <c r="K51" s="223">
        <v>168</v>
      </c>
      <c r="L51" s="223">
        <v>184</v>
      </c>
      <c r="M51" s="223">
        <v>185</v>
      </c>
    </row>
    <row r="52" spans="1:13" s="224" customFormat="1" thickBot="1" x14ac:dyDescent="0.35">
      <c r="A52" s="221">
        <v>24004</v>
      </c>
      <c r="B52" s="222" t="s">
        <v>203</v>
      </c>
      <c r="C52" s="223">
        <v>311</v>
      </c>
      <c r="D52" s="223">
        <v>314</v>
      </c>
      <c r="E52" s="223">
        <v>302</v>
      </c>
      <c r="F52" s="223">
        <v>308</v>
      </c>
      <c r="G52" s="223">
        <v>306</v>
      </c>
      <c r="H52" s="223">
        <v>311</v>
      </c>
      <c r="I52" s="223">
        <v>335</v>
      </c>
      <c r="J52" s="223">
        <v>356</v>
      </c>
      <c r="K52" s="223">
        <v>359</v>
      </c>
      <c r="L52" s="223">
        <v>370</v>
      </c>
      <c r="M52" s="223">
        <v>374</v>
      </c>
    </row>
    <row r="53" spans="1:13" s="224" customFormat="1" thickBot="1" x14ac:dyDescent="0.35">
      <c r="A53" s="221">
        <v>50003</v>
      </c>
      <c r="B53" s="222" t="s">
        <v>204</v>
      </c>
      <c r="C53" s="223">
        <v>639.70000000000005</v>
      </c>
      <c r="D53" s="223">
        <v>656.84</v>
      </c>
      <c r="E53" s="223">
        <v>669.7</v>
      </c>
      <c r="F53" s="223">
        <v>683.7</v>
      </c>
      <c r="G53" s="223">
        <v>683.84</v>
      </c>
      <c r="H53" s="223">
        <v>690.28</v>
      </c>
      <c r="I53" s="223">
        <v>709.28</v>
      </c>
      <c r="J53" s="223">
        <v>700.28</v>
      </c>
      <c r="K53" s="223">
        <v>723</v>
      </c>
      <c r="L53" s="223">
        <v>703.14</v>
      </c>
      <c r="M53" s="223">
        <v>705.28</v>
      </c>
    </row>
    <row r="54" spans="1:13" s="224" customFormat="1" thickBot="1" x14ac:dyDescent="0.35">
      <c r="A54" s="221">
        <v>14001</v>
      </c>
      <c r="B54" s="222" t="s">
        <v>205</v>
      </c>
      <c r="C54" s="223">
        <v>207</v>
      </c>
      <c r="D54" s="223">
        <v>226</v>
      </c>
      <c r="E54" s="223">
        <v>237</v>
      </c>
      <c r="F54" s="223">
        <v>247</v>
      </c>
      <c r="G54" s="223">
        <v>256</v>
      </c>
      <c r="H54" s="223">
        <v>257</v>
      </c>
      <c r="I54" s="223">
        <v>271.99</v>
      </c>
      <c r="J54" s="223">
        <v>288.01</v>
      </c>
      <c r="K54" s="223">
        <v>293.05</v>
      </c>
      <c r="L54" s="223">
        <v>290.7</v>
      </c>
      <c r="M54" s="223">
        <v>313.35000000000002</v>
      </c>
    </row>
    <row r="55" spans="1:13" s="224" customFormat="1" thickBot="1" x14ac:dyDescent="0.35">
      <c r="A55" s="221">
        <v>6002</v>
      </c>
      <c r="B55" s="222" t="s">
        <v>206</v>
      </c>
      <c r="C55" s="223">
        <v>174</v>
      </c>
      <c r="D55" s="223">
        <v>167.3</v>
      </c>
      <c r="E55" s="223">
        <v>158.30000000000001</v>
      </c>
      <c r="F55" s="223">
        <v>165.3</v>
      </c>
      <c r="G55" s="223">
        <v>160.6</v>
      </c>
      <c r="H55" s="223">
        <v>163</v>
      </c>
      <c r="I55" s="223">
        <v>158.6</v>
      </c>
      <c r="J55" s="223">
        <v>161.5</v>
      </c>
      <c r="K55" s="223">
        <v>174</v>
      </c>
      <c r="L55" s="223">
        <v>172</v>
      </c>
      <c r="M55" s="223">
        <v>177.27</v>
      </c>
    </row>
    <row r="56" spans="1:13" s="224" customFormat="1" thickBot="1" x14ac:dyDescent="0.35">
      <c r="A56" s="221">
        <v>33001</v>
      </c>
      <c r="B56" s="222" t="s">
        <v>207</v>
      </c>
      <c r="C56" s="223">
        <v>339.1</v>
      </c>
      <c r="D56" s="223">
        <v>311.08</v>
      </c>
      <c r="E56" s="223">
        <v>318.02</v>
      </c>
      <c r="F56" s="223">
        <v>303.02</v>
      </c>
      <c r="G56" s="223">
        <v>318.02</v>
      </c>
      <c r="H56" s="223">
        <v>320.02999999999997</v>
      </c>
      <c r="I56" s="223">
        <v>325.36</v>
      </c>
      <c r="J56" s="223">
        <v>337.45</v>
      </c>
      <c r="K56" s="223">
        <v>382.07</v>
      </c>
      <c r="L56" s="223">
        <v>406.22</v>
      </c>
      <c r="M56" s="223">
        <v>421.49</v>
      </c>
    </row>
    <row r="57" spans="1:13" s="224" customFormat="1" thickBot="1" x14ac:dyDescent="0.35">
      <c r="A57" s="221">
        <v>49004</v>
      </c>
      <c r="B57" s="222" t="s">
        <v>208</v>
      </c>
      <c r="C57" s="223">
        <v>494</v>
      </c>
      <c r="D57" s="223">
        <v>475</v>
      </c>
      <c r="E57" s="223">
        <v>474</v>
      </c>
      <c r="F57" s="223">
        <v>463</v>
      </c>
      <c r="G57" s="223">
        <v>477</v>
      </c>
      <c r="H57" s="223">
        <v>480.43</v>
      </c>
      <c r="I57" s="223">
        <v>494.77</v>
      </c>
      <c r="J57" s="223">
        <v>465.34</v>
      </c>
      <c r="K57" s="223">
        <v>465</v>
      </c>
      <c r="L57" s="223">
        <v>444.12</v>
      </c>
      <c r="M57" s="223">
        <v>456.44</v>
      </c>
    </row>
    <row r="58" spans="1:13" s="224" customFormat="1" thickBot="1" x14ac:dyDescent="0.35">
      <c r="A58" s="221">
        <v>63001</v>
      </c>
      <c r="B58" s="222" t="s">
        <v>209</v>
      </c>
      <c r="C58" s="223">
        <v>275</v>
      </c>
      <c r="D58" s="223">
        <v>275.05</v>
      </c>
      <c r="E58" s="223">
        <v>287</v>
      </c>
      <c r="F58" s="223">
        <v>304</v>
      </c>
      <c r="G58" s="223">
        <v>279</v>
      </c>
      <c r="H58" s="223">
        <v>293</v>
      </c>
      <c r="I58" s="223">
        <v>290</v>
      </c>
      <c r="J58" s="223">
        <v>279</v>
      </c>
      <c r="K58" s="223">
        <v>275</v>
      </c>
      <c r="L58" s="223">
        <v>262</v>
      </c>
      <c r="M58" s="223">
        <v>257</v>
      </c>
    </row>
    <row r="59" spans="1:13" s="224" customFormat="1" thickBot="1" x14ac:dyDescent="0.35">
      <c r="A59" s="221">
        <v>53001</v>
      </c>
      <c r="B59" s="222" t="s">
        <v>210</v>
      </c>
      <c r="C59" s="223">
        <v>263.39999999999998</v>
      </c>
      <c r="D59" s="223">
        <v>259.14999999999998</v>
      </c>
      <c r="E59" s="223">
        <v>252.04</v>
      </c>
      <c r="F59" s="223">
        <v>241.04</v>
      </c>
      <c r="G59" s="223">
        <v>243.04</v>
      </c>
      <c r="H59" s="223">
        <v>239.04</v>
      </c>
      <c r="I59" s="223">
        <v>225.75</v>
      </c>
      <c r="J59" s="223">
        <v>224.51</v>
      </c>
      <c r="K59" s="223">
        <v>228</v>
      </c>
      <c r="L59" s="223">
        <v>214.26</v>
      </c>
      <c r="M59" s="223">
        <v>221</v>
      </c>
    </row>
    <row r="60" spans="1:13" s="224" customFormat="1" thickBot="1" x14ac:dyDescent="0.35">
      <c r="A60" s="221">
        <v>26004</v>
      </c>
      <c r="B60" s="222" t="s">
        <v>211</v>
      </c>
      <c r="C60" s="223">
        <v>379</v>
      </c>
      <c r="D60" s="223">
        <v>382</v>
      </c>
      <c r="E60" s="223">
        <v>391</v>
      </c>
      <c r="F60" s="223">
        <v>361</v>
      </c>
      <c r="G60" s="223">
        <v>371</v>
      </c>
      <c r="H60" s="223">
        <v>373.6</v>
      </c>
      <c r="I60" s="223">
        <v>373</v>
      </c>
      <c r="J60" s="223">
        <v>384</v>
      </c>
      <c r="K60" s="223">
        <v>407</v>
      </c>
      <c r="L60" s="223">
        <v>395.53</v>
      </c>
      <c r="M60" s="223">
        <v>407.31</v>
      </c>
    </row>
    <row r="61" spans="1:13" s="224" customFormat="1" thickBot="1" x14ac:dyDescent="0.35">
      <c r="A61" s="221">
        <v>6006</v>
      </c>
      <c r="B61" s="222" t="s">
        <v>212</v>
      </c>
      <c r="C61" s="223">
        <v>581</v>
      </c>
      <c r="D61" s="223">
        <v>596</v>
      </c>
      <c r="E61" s="223">
        <v>582</v>
      </c>
      <c r="F61" s="223">
        <v>589</v>
      </c>
      <c r="G61" s="223">
        <v>568</v>
      </c>
      <c r="H61" s="223">
        <v>578.87</v>
      </c>
      <c r="I61" s="223">
        <v>580.86</v>
      </c>
      <c r="J61" s="223">
        <v>611.86</v>
      </c>
      <c r="K61" s="223">
        <v>590.88</v>
      </c>
      <c r="L61" s="223">
        <v>587</v>
      </c>
      <c r="M61" s="223">
        <v>596.47</v>
      </c>
    </row>
    <row r="62" spans="1:13" s="224" customFormat="1" thickBot="1" x14ac:dyDescent="0.35">
      <c r="A62" s="221">
        <v>27001</v>
      </c>
      <c r="B62" s="222" t="s">
        <v>213</v>
      </c>
      <c r="C62" s="223">
        <v>300</v>
      </c>
      <c r="D62" s="223">
        <v>295</v>
      </c>
      <c r="E62" s="223">
        <v>288</v>
      </c>
      <c r="F62" s="223">
        <v>310</v>
      </c>
      <c r="G62" s="223">
        <v>302</v>
      </c>
      <c r="H62" s="223">
        <v>310</v>
      </c>
      <c r="I62" s="223">
        <v>318</v>
      </c>
      <c r="J62" s="223">
        <v>315</v>
      </c>
      <c r="K62" s="223">
        <v>309</v>
      </c>
      <c r="L62" s="223">
        <v>319.27999999999997</v>
      </c>
      <c r="M62" s="223">
        <v>323.81</v>
      </c>
    </row>
    <row r="63" spans="1:13" s="224" customFormat="1" thickBot="1" x14ac:dyDescent="0.35">
      <c r="A63" s="221">
        <v>28003</v>
      </c>
      <c r="B63" s="222" t="s">
        <v>214</v>
      </c>
      <c r="C63" s="223">
        <v>715</v>
      </c>
      <c r="D63" s="223">
        <v>726.25</v>
      </c>
      <c r="E63" s="223">
        <v>726.68</v>
      </c>
      <c r="F63" s="223">
        <v>749</v>
      </c>
      <c r="G63" s="223">
        <v>783</v>
      </c>
      <c r="H63" s="223">
        <v>810</v>
      </c>
      <c r="I63" s="223">
        <v>842</v>
      </c>
      <c r="J63" s="223">
        <v>847</v>
      </c>
      <c r="K63" s="223">
        <v>838</v>
      </c>
      <c r="L63" s="223">
        <v>834.99</v>
      </c>
      <c r="M63" s="223">
        <v>841</v>
      </c>
    </row>
    <row r="64" spans="1:13" s="224" customFormat="1" thickBot="1" x14ac:dyDescent="0.35">
      <c r="A64" s="221">
        <v>30001</v>
      </c>
      <c r="B64" s="222" t="s">
        <v>215</v>
      </c>
      <c r="C64" s="223">
        <v>409.28</v>
      </c>
      <c r="D64" s="223">
        <v>423</v>
      </c>
      <c r="E64" s="223">
        <v>439</v>
      </c>
      <c r="F64" s="223">
        <v>419</v>
      </c>
      <c r="G64" s="223">
        <v>409</v>
      </c>
      <c r="H64" s="223">
        <v>402</v>
      </c>
      <c r="I64" s="223">
        <v>396</v>
      </c>
      <c r="J64" s="223">
        <v>391</v>
      </c>
      <c r="K64" s="223">
        <v>382</v>
      </c>
      <c r="L64" s="223">
        <v>385</v>
      </c>
      <c r="M64" s="223">
        <v>377.25</v>
      </c>
    </row>
    <row r="65" spans="1:13" s="224" customFormat="1" thickBot="1" x14ac:dyDescent="0.35">
      <c r="A65" s="221">
        <v>31001</v>
      </c>
      <c r="B65" s="222" t="s">
        <v>216</v>
      </c>
      <c r="C65" s="223">
        <v>169.25</v>
      </c>
      <c r="D65" s="223">
        <v>179.25</v>
      </c>
      <c r="E65" s="223">
        <v>194.25</v>
      </c>
      <c r="F65" s="223">
        <v>202.25</v>
      </c>
      <c r="G65" s="223">
        <v>195.25</v>
      </c>
      <c r="H65" s="223">
        <v>200</v>
      </c>
      <c r="I65" s="223">
        <v>200.25</v>
      </c>
      <c r="J65" s="223">
        <v>194.25</v>
      </c>
      <c r="K65" s="223">
        <v>210.25</v>
      </c>
      <c r="L65" s="223">
        <v>224</v>
      </c>
      <c r="M65" s="223">
        <v>221</v>
      </c>
    </row>
    <row r="66" spans="1:13" s="224" customFormat="1" thickBot="1" x14ac:dyDescent="0.35">
      <c r="A66" s="221">
        <v>41002</v>
      </c>
      <c r="B66" s="222" t="s">
        <v>217</v>
      </c>
      <c r="C66" s="223">
        <v>3267.04</v>
      </c>
      <c r="D66" s="223">
        <v>3572</v>
      </c>
      <c r="E66" s="223">
        <v>3853.6</v>
      </c>
      <c r="F66" s="223">
        <v>4144.5200000000004</v>
      </c>
      <c r="G66" s="223">
        <v>4542.16</v>
      </c>
      <c r="H66" s="223">
        <v>4807.7700000000004</v>
      </c>
      <c r="I66" s="223">
        <v>5152.17</v>
      </c>
      <c r="J66" s="223">
        <v>5418.53</v>
      </c>
      <c r="K66" s="223">
        <v>5710.32</v>
      </c>
      <c r="L66" s="223">
        <v>5902.4</v>
      </c>
      <c r="M66" s="223">
        <v>6071.99</v>
      </c>
    </row>
    <row r="67" spans="1:13" s="224" customFormat="1" thickBot="1" x14ac:dyDescent="0.35">
      <c r="A67" s="221">
        <v>14002</v>
      </c>
      <c r="B67" s="222" t="s">
        <v>218</v>
      </c>
      <c r="C67" s="223">
        <v>173</v>
      </c>
      <c r="D67" s="223">
        <v>177</v>
      </c>
      <c r="E67" s="223">
        <v>166</v>
      </c>
      <c r="F67" s="223">
        <v>170</v>
      </c>
      <c r="G67" s="223">
        <v>165</v>
      </c>
      <c r="H67" s="223">
        <v>176</v>
      </c>
      <c r="I67" s="223">
        <v>157</v>
      </c>
      <c r="J67" s="223">
        <v>168</v>
      </c>
      <c r="K67" s="223">
        <v>181.01</v>
      </c>
      <c r="L67" s="223">
        <v>183</v>
      </c>
      <c r="M67" s="223">
        <v>190</v>
      </c>
    </row>
    <row r="68" spans="1:13" s="224" customFormat="1" thickBot="1" x14ac:dyDescent="0.35">
      <c r="A68" s="221">
        <v>10001</v>
      </c>
      <c r="B68" s="222" t="s">
        <v>219</v>
      </c>
      <c r="C68" s="223">
        <v>120</v>
      </c>
      <c r="D68" s="223">
        <v>120</v>
      </c>
      <c r="E68" s="223">
        <v>120.14</v>
      </c>
      <c r="F68" s="223">
        <v>117</v>
      </c>
      <c r="G68" s="223">
        <v>109</v>
      </c>
      <c r="H68" s="223">
        <v>119</v>
      </c>
      <c r="I68" s="223">
        <v>123</v>
      </c>
      <c r="J68" s="223">
        <v>119.18</v>
      </c>
      <c r="K68" s="223">
        <v>125</v>
      </c>
      <c r="L68" s="223">
        <v>140</v>
      </c>
      <c r="M68" s="223">
        <v>138</v>
      </c>
    </row>
    <row r="69" spans="1:13" s="224" customFormat="1" thickBot="1" x14ac:dyDescent="0.35">
      <c r="A69" s="221">
        <v>34002</v>
      </c>
      <c r="B69" s="222" t="s">
        <v>220</v>
      </c>
      <c r="C69" s="223">
        <v>268</v>
      </c>
      <c r="D69" s="223">
        <v>261</v>
      </c>
      <c r="E69" s="223">
        <v>251.4</v>
      </c>
      <c r="F69" s="223">
        <v>250</v>
      </c>
      <c r="G69" s="223">
        <v>238</v>
      </c>
      <c r="H69" s="223">
        <v>232.95</v>
      </c>
      <c r="I69" s="223">
        <v>225</v>
      </c>
      <c r="J69" s="223">
        <v>216</v>
      </c>
      <c r="K69" s="223">
        <v>218</v>
      </c>
      <c r="L69" s="223">
        <v>215</v>
      </c>
      <c r="M69" s="223">
        <v>231.2</v>
      </c>
    </row>
    <row r="70" spans="1:13" s="224" customFormat="1" thickBot="1" x14ac:dyDescent="0.35">
      <c r="A70" s="221">
        <v>51002</v>
      </c>
      <c r="B70" s="222" t="s">
        <v>221</v>
      </c>
      <c r="C70" s="223">
        <v>517.5</v>
      </c>
      <c r="D70" s="223">
        <v>512.6</v>
      </c>
      <c r="E70" s="223">
        <v>499</v>
      </c>
      <c r="F70" s="223">
        <v>498.15</v>
      </c>
      <c r="G70" s="223">
        <v>456.6</v>
      </c>
      <c r="H70" s="223">
        <v>453.4</v>
      </c>
      <c r="I70" s="223">
        <v>464</v>
      </c>
      <c r="J70" s="223">
        <v>488.3</v>
      </c>
      <c r="K70" s="223">
        <v>502.55</v>
      </c>
      <c r="L70" s="223">
        <v>486.7</v>
      </c>
      <c r="M70" s="223">
        <v>498.4</v>
      </c>
    </row>
    <row r="71" spans="1:13" s="224" customFormat="1" thickBot="1" x14ac:dyDescent="0.35">
      <c r="A71" s="221">
        <v>56006</v>
      </c>
      <c r="B71" s="222" t="s">
        <v>222</v>
      </c>
      <c r="C71" s="223">
        <v>206</v>
      </c>
      <c r="D71" s="223">
        <v>203</v>
      </c>
      <c r="E71" s="223">
        <v>216</v>
      </c>
      <c r="F71" s="223">
        <v>231</v>
      </c>
      <c r="G71" s="223">
        <v>232</v>
      </c>
      <c r="H71" s="223">
        <v>230.38</v>
      </c>
      <c r="I71" s="223">
        <v>229</v>
      </c>
      <c r="J71" s="223">
        <v>219</v>
      </c>
      <c r="K71" s="223">
        <v>235.13</v>
      </c>
      <c r="L71" s="223">
        <v>222</v>
      </c>
      <c r="M71" s="223">
        <v>224</v>
      </c>
    </row>
    <row r="72" spans="1:13" s="224" customFormat="1" thickBot="1" x14ac:dyDescent="0.35">
      <c r="A72" s="221">
        <v>23002</v>
      </c>
      <c r="B72" s="222" t="s">
        <v>223</v>
      </c>
      <c r="C72" s="223">
        <v>808.08</v>
      </c>
      <c r="D72" s="223">
        <v>803.24</v>
      </c>
      <c r="E72" s="223">
        <v>814.8</v>
      </c>
      <c r="F72" s="223">
        <v>806.4</v>
      </c>
      <c r="G72" s="223">
        <v>776.1</v>
      </c>
      <c r="H72" s="223">
        <v>761.24</v>
      </c>
      <c r="I72" s="223">
        <v>761.46</v>
      </c>
      <c r="J72" s="223">
        <v>730.52</v>
      </c>
      <c r="K72" s="223">
        <v>765.86</v>
      </c>
      <c r="L72" s="223">
        <v>753.26</v>
      </c>
      <c r="M72" s="223">
        <v>728.8</v>
      </c>
    </row>
    <row r="73" spans="1:13" s="224" customFormat="1" thickBot="1" x14ac:dyDescent="0.35">
      <c r="A73" s="221">
        <v>53002</v>
      </c>
      <c r="B73" s="222" t="s">
        <v>224</v>
      </c>
      <c r="C73" s="223">
        <v>102</v>
      </c>
      <c r="D73" s="223">
        <v>107</v>
      </c>
      <c r="E73" s="223">
        <v>112</v>
      </c>
      <c r="F73" s="223">
        <v>109</v>
      </c>
      <c r="G73" s="223">
        <v>102</v>
      </c>
      <c r="H73" s="223">
        <v>104</v>
      </c>
      <c r="I73" s="223">
        <v>99.12</v>
      </c>
      <c r="J73" s="223">
        <v>100.12</v>
      </c>
      <c r="K73" s="223">
        <v>104</v>
      </c>
      <c r="L73" s="223">
        <v>104</v>
      </c>
      <c r="M73" s="223">
        <v>105</v>
      </c>
    </row>
    <row r="74" spans="1:13" s="224" customFormat="1" thickBot="1" x14ac:dyDescent="0.35">
      <c r="A74" s="221">
        <v>48003</v>
      </c>
      <c r="B74" s="222" t="s">
        <v>225</v>
      </c>
      <c r="C74" s="223">
        <v>370.88</v>
      </c>
      <c r="D74" s="223">
        <v>363</v>
      </c>
      <c r="E74" s="223">
        <v>359</v>
      </c>
      <c r="F74" s="223">
        <v>365.12</v>
      </c>
      <c r="G74" s="223">
        <v>365</v>
      </c>
      <c r="H74" s="223">
        <v>363.1</v>
      </c>
      <c r="I74" s="223">
        <v>359</v>
      </c>
      <c r="J74" s="223">
        <v>339</v>
      </c>
      <c r="K74" s="223">
        <v>348</v>
      </c>
      <c r="L74" s="223">
        <v>350</v>
      </c>
      <c r="M74" s="223">
        <v>334</v>
      </c>
    </row>
    <row r="75" spans="1:13" s="224" customFormat="1" thickBot="1" x14ac:dyDescent="0.35">
      <c r="A75" s="221">
        <v>2002</v>
      </c>
      <c r="B75" s="222" t="s">
        <v>226</v>
      </c>
      <c r="C75" s="223">
        <v>2304.5</v>
      </c>
      <c r="D75" s="223">
        <v>2402.19</v>
      </c>
      <c r="E75" s="223">
        <f>2471.74-1</f>
        <v>2470.7399999999998</v>
      </c>
      <c r="F75" s="223">
        <v>2544.14</v>
      </c>
      <c r="G75" s="223">
        <v>2612.23</v>
      </c>
      <c r="H75" s="223">
        <v>2660.62</v>
      </c>
      <c r="I75" s="223">
        <v>2816.66</v>
      </c>
      <c r="J75" s="223">
        <v>2788.2</v>
      </c>
      <c r="K75" s="223">
        <v>2867.85</v>
      </c>
      <c r="L75" s="223">
        <v>2921.98</v>
      </c>
      <c r="M75" s="223">
        <v>2949.12</v>
      </c>
    </row>
    <row r="76" spans="1:13" s="224" customFormat="1" thickBot="1" x14ac:dyDescent="0.35">
      <c r="A76" s="221">
        <v>22006</v>
      </c>
      <c r="B76" s="222" t="s">
        <v>227</v>
      </c>
      <c r="C76" s="223">
        <v>376.28</v>
      </c>
      <c r="D76" s="223">
        <v>369.04</v>
      </c>
      <c r="E76" s="223">
        <v>381.7</v>
      </c>
      <c r="F76" s="223">
        <v>403</v>
      </c>
      <c r="G76" s="223">
        <v>405.49</v>
      </c>
      <c r="H76" s="223">
        <v>422.49</v>
      </c>
      <c r="I76" s="223">
        <v>414.13</v>
      </c>
      <c r="J76" s="223">
        <v>412.13</v>
      </c>
      <c r="K76" s="223">
        <v>418</v>
      </c>
      <c r="L76" s="223">
        <v>428.07</v>
      </c>
      <c r="M76" s="223">
        <v>408.07</v>
      </c>
    </row>
    <row r="77" spans="1:13" s="224" customFormat="1" thickBot="1" x14ac:dyDescent="0.35">
      <c r="A77" s="221">
        <v>13003</v>
      </c>
      <c r="B77" s="222" t="s">
        <v>228</v>
      </c>
      <c r="C77" s="223">
        <v>286</v>
      </c>
      <c r="D77" s="223">
        <v>278</v>
      </c>
      <c r="E77" s="223">
        <v>289.14999999999998</v>
      </c>
      <c r="F77" s="223">
        <v>294.45</v>
      </c>
      <c r="G77" s="223">
        <v>296.3</v>
      </c>
      <c r="H77" s="223">
        <v>283.72000000000003</v>
      </c>
      <c r="I77" s="223">
        <v>290.86</v>
      </c>
      <c r="J77" s="223">
        <v>293.87</v>
      </c>
      <c r="K77" s="223">
        <v>293.57</v>
      </c>
      <c r="L77" s="223">
        <v>282.56</v>
      </c>
      <c r="M77" s="223">
        <v>275.42</v>
      </c>
    </row>
    <row r="78" spans="1:13" s="224" customFormat="1" thickBot="1" x14ac:dyDescent="0.35">
      <c r="A78" s="221">
        <v>2003</v>
      </c>
      <c r="B78" s="222" t="s">
        <v>229</v>
      </c>
      <c r="C78" s="223">
        <v>228</v>
      </c>
      <c r="D78" s="223">
        <v>216</v>
      </c>
      <c r="E78" s="223">
        <v>217</v>
      </c>
      <c r="F78" s="223">
        <v>238.02</v>
      </c>
      <c r="G78" s="223">
        <v>219</v>
      </c>
      <c r="H78" s="223">
        <v>223.2</v>
      </c>
      <c r="I78" s="223">
        <v>213</v>
      </c>
      <c r="J78" s="223">
        <v>204</v>
      </c>
      <c r="K78" s="223">
        <v>223.5</v>
      </c>
      <c r="L78" s="223">
        <v>229</v>
      </c>
      <c r="M78" s="223">
        <v>213.06</v>
      </c>
    </row>
    <row r="79" spans="1:13" s="224" customFormat="1" thickBot="1" x14ac:dyDescent="0.35">
      <c r="A79" s="221">
        <v>37003</v>
      </c>
      <c r="B79" s="222" t="s">
        <v>230</v>
      </c>
      <c r="C79" s="223">
        <v>191</v>
      </c>
      <c r="D79" s="223">
        <v>178</v>
      </c>
      <c r="E79" s="223">
        <v>188</v>
      </c>
      <c r="F79" s="223">
        <v>189</v>
      </c>
      <c r="G79" s="223">
        <v>187.29</v>
      </c>
      <c r="H79" s="223">
        <v>179</v>
      </c>
      <c r="I79" s="223">
        <v>168</v>
      </c>
      <c r="J79" s="223">
        <v>178</v>
      </c>
      <c r="K79" s="223">
        <v>187</v>
      </c>
      <c r="L79" s="223">
        <v>186.15</v>
      </c>
      <c r="M79" s="223">
        <v>184</v>
      </c>
    </row>
    <row r="80" spans="1:13" s="224" customFormat="1" thickBot="1" x14ac:dyDescent="0.35">
      <c r="A80" s="221">
        <v>35002</v>
      </c>
      <c r="B80" s="222" t="s">
        <v>231</v>
      </c>
      <c r="C80" s="223">
        <v>362</v>
      </c>
      <c r="D80" s="223">
        <v>368</v>
      </c>
      <c r="E80" s="223">
        <v>361</v>
      </c>
      <c r="F80" s="223">
        <v>348</v>
      </c>
      <c r="G80" s="223">
        <v>322</v>
      </c>
      <c r="H80" s="223">
        <v>322</v>
      </c>
      <c r="I80" s="223">
        <v>338.42</v>
      </c>
      <c r="J80" s="223">
        <v>314.42</v>
      </c>
      <c r="K80" s="223">
        <v>325</v>
      </c>
      <c r="L80" s="223">
        <v>317</v>
      </c>
      <c r="M80" s="223">
        <v>293</v>
      </c>
    </row>
    <row r="81" spans="1:13" s="224" customFormat="1" thickBot="1" x14ac:dyDescent="0.35">
      <c r="A81" s="221">
        <v>7002</v>
      </c>
      <c r="B81" s="222" t="s">
        <v>232</v>
      </c>
      <c r="C81" s="223">
        <v>293</v>
      </c>
      <c r="D81" s="223">
        <v>293.5</v>
      </c>
      <c r="E81" s="223">
        <v>307</v>
      </c>
      <c r="F81" s="223">
        <v>296</v>
      </c>
      <c r="G81" s="223">
        <v>304.25</v>
      </c>
      <c r="H81" s="223">
        <v>305.25</v>
      </c>
      <c r="I81" s="223">
        <v>314</v>
      </c>
      <c r="J81" s="223">
        <v>331</v>
      </c>
      <c r="K81" s="223">
        <v>330</v>
      </c>
      <c r="L81" s="223">
        <v>339.12</v>
      </c>
      <c r="M81" s="223">
        <v>350.12</v>
      </c>
    </row>
    <row r="82" spans="1:13" s="224" customFormat="1" thickBot="1" x14ac:dyDescent="0.35">
      <c r="A82" s="221">
        <v>38003</v>
      </c>
      <c r="B82" s="222" t="s">
        <v>233</v>
      </c>
      <c r="C82" s="223">
        <v>165</v>
      </c>
      <c r="D82" s="223">
        <v>163</v>
      </c>
      <c r="E82" s="223">
        <v>162</v>
      </c>
      <c r="F82" s="223">
        <v>148</v>
      </c>
      <c r="G82" s="223">
        <v>157</v>
      </c>
      <c r="H82" s="223">
        <v>164</v>
      </c>
      <c r="I82" s="223">
        <v>178</v>
      </c>
      <c r="J82" s="223">
        <v>169</v>
      </c>
      <c r="K82" s="223">
        <v>177</v>
      </c>
      <c r="L82" s="223">
        <v>165.49</v>
      </c>
      <c r="M82" s="223">
        <v>175</v>
      </c>
    </row>
    <row r="83" spans="1:13" s="224" customFormat="1" thickBot="1" x14ac:dyDescent="0.35">
      <c r="A83" s="221">
        <v>45005</v>
      </c>
      <c r="B83" s="222" t="s">
        <v>234</v>
      </c>
      <c r="C83" s="223">
        <v>215</v>
      </c>
      <c r="D83" s="223">
        <v>202</v>
      </c>
      <c r="E83" s="223">
        <v>218</v>
      </c>
      <c r="F83" s="223">
        <v>218</v>
      </c>
      <c r="G83" s="223">
        <v>203</v>
      </c>
      <c r="H83" s="223">
        <v>211</v>
      </c>
      <c r="I83" s="223">
        <v>213</v>
      </c>
      <c r="J83" s="223">
        <v>213</v>
      </c>
      <c r="K83" s="223">
        <v>227</v>
      </c>
      <c r="L83" s="223">
        <v>230</v>
      </c>
      <c r="M83" s="223">
        <v>225</v>
      </c>
    </row>
    <row r="84" spans="1:13" s="224" customFormat="1" thickBot="1" x14ac:dyDescent="0.35">
      <c r="A84" s="221">
        <v>40001</v>
      </c>
      <c r="B84" s="222" t="s">
        <v>317</v>
      </c>
      <c r="C84" s="223">
        <v>784.53</v>
      </c>
      <c r="D84" s="223">
        <v>740.28</v>
      </c>
      <c r="E84" s="223">
        <v>763.29</v>
      </c>
      <c r="F84" s="223">
        <v>725.63</v>
      </c>
      <c r="G84" s="223">
        <v>784.5</v>
      </c>
      <c r="H84" s="223">
        <v>757.99</v>
      </c>
      <c r="I84" s="223">
        <v>753.06</v>
      </c>
      <c r="J84" s="223">
        <v>725.56</v>
      </c>
      <c r="K84" s="223">
        <v>688.64</v>
      </c>
      <c r="L84" s="223">
        <v>704.31</v>
      </c>
      <c r="M84" s="223">
        <v>658.06</v>
      </c>
    </row>
    <row r="85" spans="1:13" s="224" customFormat="1" thickBot="1" x14ac:dyDescent="0.35">
      <c r="A85" s="221">
        <v>52004</v>
      </c>
      <c r="B85" s="222" t="s">
        <v>236</v>
      </c>
      <c r="C85" s="223">
        <v>244.33</v>
      </c>
      <c r="D85" s="223">
        <v>266.61</v>
      </c>
      <c r="E85" s="223">
        <v>273.37</v>
      </c>
      <c r="F85" s="223">
        <v>266.55</v>
      </c>
      <c r="G85" s="223">
        <v>246.19</v>
      </c>
      <c r="H85" s="223">
        <v>238.82</v>
      </c>
      <c r="I85" s="223">
        <v>247</v>
      </c>
      <c r="J85" s="223">
        <v>252.92</v>
      </c>
      <c r="K85" s="223">
        <v>267</v>
      </c>
      <c r="L85" s="223">
        <v>274.08999999999997</v>
      </c>
      <c r="M85" s="223">
        <v>284.3</v>
      </c>
    </row>
    <row r="86" spans="1:13" s="224" customFormat="1" thickBot="1" x14ac:dyDescent="0.35">
      <c r="A86" s="221">
        <v>41004</v>
      </c>
      <c r="B86" s="222" t="s">
        <v>237</v>
      </c>
      <c r="C86" s="223">
        <v>1032</v>
      </c>
      <c r="D86" s="223">
        <v>1044</v>
      </c>
      <c r="E86" s="223">
        <v>1049.51</v>
      </c>
      <c r="F86" s="223">
        <v>1055.51</v>
      </c>
      <c r="G86" s="223">
        <v>1079</v>
      </c>
      <c r="H86" s="223">
        <v>1123.75</v>
      </c>
      <c r="I86" s="223">
        <v>1141.02</v>
      </c>
      <c r="J86" s="223">
        <v>1135.53</v>
      </c>
      <c r="K86" s="223">
        <v>1137.8399999999999</v>
      </c>
      <c r="L86" s="223">
        <v>1157.28</v>
      </c>
      <c r="M86" s="223">
        <v>1151.94</v>
      </c>
    </row>
    <row r="87" spans="1:13" s="224" customFormat="1" thickBot="1" x14ac:dyDescent="0.35">
      <c r="A87" s="221">
        <v>44002</v>
      </c>
      <c r="B87" s="222" t="s">
        <v>238</v>
      </c>
      <c r="C87" s="223">
        <v>213</v>
      </c>
      <c r="D87" s="223">
        <v>183</v>
      </c>
      <c r="E87" s="223">
        <v>196</v>
      </c>
      <c r="F87" s="223">
        <v>185</v>
      </c>
      <c r="G87" s="223">
        <v>203</v>
      </c>
      <c r="H87" s="223">
        <v>200</v>
      </c>
      <c r="I87" s="223">
        <v>217</v>
      </c>
      <c r="J87" s="223">
        <v>212</v>
      </c>
      <c r="K87" s="223">
        <v>210</v>
      </c>
      <c r="L87" s="223">
        <v>197</v>
      </c>
      <c r="M87" s="223">
        <v>192</v>
      </c>
    </row>
    <row r="88" spans="1:13" s="224" customFormat="1" thickBot="1" x14ac:dyDescent="0.35">
      <c r="A88" s="221">
        <v>42001</v>
      </c>
      <c r="B88" s="222" t="s">
        <v>239</v>
      </c>
      <c r="C88" s="223">
        <v>401</v>
      </c>
      <c r="D88" s="223">
        <v>398</v>
      </c>
      <c r="E88" s="223">
        <v>388</v>
      </c>
      <c r="F88" s="223">
        <v>410</v>
      </c>
      <c r="G88" s="223">
        <v>366</v>
      </c>
      <c r="H88" s="223">
        <v>366</v>
      </c>
      <c r="I88" s="223">
        <v>350</v>
      </c>
      <c r="J88" s="223">
        <v>353</v>
      </c>
      <c r="K88" s="223">
        <v>352</v>
      </c>
      <c r="L88" s="223">
        <v>345</v>
      </c>
      <c r="M88" s="223">
        <v>345</v>
      </c>
    </row>
    <row r="89" spans="1:13" s="224" customFormat="1" thickBot="1" x14ac:dyDescent="0.35">
      <c r="A89" s="221">
        <v>39002</v>
      </c>
      <c r="B89" s="222" t="s">
        <v>240</v>
      </c>
      <c r="C89" s="223">
        <v>1138.68</v>
      </c>
      <c r="D89" s="223">
        <v>1131.8699999999999</v>
      </c>
      <c r="E89" s="223">
        <v>1160.8399999999999</v>
      </c>
      <c r="F89" s="223">
        <v>1162.77</v>
      </c>
      <c r="G89" s="223">
        <v>1222.3</v>
      </c>
      <c r="H89" s="223">
        <v>1205.8</v>
      </c>
      <c r="I89" s="223">
        <v>1171.27</v>
      </c>
      <c r="J89" s="223">
        <v>1129.6199999999999</v>
      </c>
      <c r="K89" s="223">
        <v>1139.21</v>
      </c>
      <c r="L89" s="223">
        <v>1153.27</v>
      </c>
      <c r="M89" s="223">
        <v>1194.97</v>
      </c>
    </row>
    <row r="90" spans="1:13" s="224" customFormat="1" thickBot="1" x14ac:dyDescent="0.35">
      <c r="A90" s="221">
        <v>60003</v>
      </c>
      <c r="B90" s="222" t="s">
        <v>241</v>
      </c>
      <c r="C90" s="223">
        <v>178</v>
      </c>
      <c r="D90" s="223">
        <v>195</v>
      </c>
      <c r="E90" s="223">
        <v>191</v>
      </c>
      <c r="F90" s="223">
        <v>183.9</v>
      </c>
      <c r="G90" s="223">
        <v>174.2</v>
      </c>
      <c r="H90" s="223">
        <v>167</v>
      </c>
      <c r="I90" s="223">
        <v>177</v>
      </c>
      <c r="J90" s="223">
        <v>178.72</v>
      </c>
      <c r="K90" s="223">
        <v>195</v>
      </c>
      <c r="L90" s="223">
        <v>192</v>
      </c>
      <c r="M90" s="223">
        <v>203</v>
      </c>
    </row>
    <row r="91" spans="1:13" s="224" customFormat="1" thickBot="1" x14ac:dyDescent="0.35">
      <c r="A91" s="221">
        <v>43007</v>
      </c>
      <c r="B91" s="222" t="s">
        <v>242</v>
      </c>
      <c r="C91" s="223">
        <v>357.53</v>
      </c>
      <c r="D91" s="223">
        <v>356.92</v>
      </c>
      <c r="E91" s="223">
        <v>359.57</v>
      </c>
      <c r="F91" s="223">
        <v>378.54</v>
      </c>
      <c r="G91" s="223">
        <v>378.32</v>
      </c>
      <c r="H91" s="223">
        <v>377.91</v>
      </c>
      <c r="I91" s="223">
        <v>397.37</v>
      </c>
      <c r="J91" s="223">
        <v>398.68</v>
      </c>
      <c r="K91" s="223">
        <v>403.89</v>
      </c>
      <c r="L91" s="223">
        <v>406.58</v>
      </c>
      <c r="M91" s="223">
        <v>437.51</v>
      </c>
    </row>
    <row r="92" spans="1:13" s="224" customFormat="1" thickBot="1" x14ac:dyDescent="0.35">
      <c r="A92" s="221">
        <v>15001</v>
      </c>
      <c r="B92" s="222" t="s">
        <v>243</v>
      </c>
      <c r="C92" s="223">
        <v>171</v>
      </c>
      <c r="D92" s="223">
        <v>156</v>
      </c>
      <c r="E92" s="223">
        <v>152</v>
      </c>
      <c r="F92" s="223">
        <v>161</v>
      </c>
      <c r="G92" s="223">
        <v>177</v>
      </c>
      <c r="H92" s="223">
        <v>171</v>
      </c>
      <c r="I92" s="223">
        <v>160</v>
      </c>
      <c r="J92" s="223">
        <v>138</v>
      </c>
      <c r="K92" s="223">
        <v>148</v>
      </c>
      <c r="L92" s="223">
        <v>128</v>
      </c>
      <c r="M92" s="223">
        <v>122</v>
      </c>
    </row>
    <row r="93" spans="1:13" s="224" customFormat="1" thickBot="1" x14ac:dyDescent="0.35">
      <c r="A93" s="221">
        <v>15002</v>
      </c>
      <c r="B93" s="222" t="s">
        <v>244</v>
      </c>
      <c r="C93" s="223">
        <v>482</v>
      </c>
      <c r="D93" s="223">
        <v>486</v>
      </c>
      <c r="E93" s="223">
        <v>465</v>
      </c>
      <c r="F93" s="223">
        <v>457.5</v>
      </c>
      <c r="G93" s="223">
        <v>441.36</v>
      </c>
      <c r="H93" s="223">
        <v>444.87</v>
      </c>
      <c r="I93" s="223">
        <v>433.5</v>
      </c>
      <c r="J93" s="223">
        <v>442.5</v>
      </c>
      <c r="K93" s="223">
        <v>416</v>
      </c>
      <c r="L93" s="223">
        <v>421.67</v>
      </c>
      <c r="M93" s="223">
        <v>408.4</v>
      </c>
    </row>
    <row r="94" spans="1:13" s="224" customFormat="1" thickBot="1" x14ac:dyDescent="0.35">
      <c r="A94" s="221">
        <v>46001</v>
      </c>
      <c r="B94" s="222" t="s">
        <v>245</v>
      </c>
      <c r="C94" s="223">
        <v>2653.25</v>
      </c>
      <c r="D94" s="223">
        <v>2642</v>
      </c>
      <c r="E94" s="223">
        <v>2681.76</v>
      </c>
      <c r="F94" s="223">
        <v>2832.79</v>
      </c>
      <c r="G94" s="223">
        <v>2825.25</v>
      </c>
      <c r="H94" s="223">
        <v>2878.35</v>
      </c>
      <c r="I94" s="223">
        <v>2967.04</v>
      </c>
      <c r="J94" s="223">
        <v>3003.11</v>
      </c>
      <c r="K94" s="223">
        <v>3080.14</v>
      </c>
      <c r="L94" s="223">
        <v>3059.81</v>
      </c>
      <c r="M94" s="223">
        <v>3028.37</v>
      </c>
    </row>
    <row r="95" spans="1:13" s="224" customFormat="1" thickBot="1" x14ac:dyDescent="0.35">
      <c r="A95" s="221">
        <v>33002</v>
      </c>
      <c r="B95" s="222" t="s">
        <v>246</v>
      </c>
      <c r="C95" s="223">
        <v>282</v>
      </c>
      <c r="D95" s="223">
        <v>283</v>
      </c>
      <c r="E95" s="223">
        <v>281</v>
      </c>
      <c r="F95" s="223">
        <v>280</v>
      </c>
      <c r="G95" s="223">
        <v>280</v>
      </c>
      <c r="H95" s="223">
        <v>277</v>
      </c>
      <c r="I95" s="223">
        <v>271</v>
      </c>
      <c r="J95" s="223">
        <v>283</v>
      </c>
      <c r="K95" s="223">
        <v>270</v>
      </c>
      <c r="L95" s="223">
        <v>275</v>
      </c>
      <c r="M95" s="223">
        <v>251</v>
      </c>
    </row>
    <row r="96" spans="1:13" s="224" customFormat="1" thickBot="1" x14ac:dyDescent="0.35">
      <c r="A96" s="221">
        <v>25004</v>
      </c>
      <c r="B96" s="222" t="s">
        <v>247</v>
      </c>
      <c r="C96" s="223">
        <v>893.39</v>
      </c>
      <c r="D96" s="223">
        <v>909.49</v>
      </c>
      <c r="E96" s="223">
        <v>908.8</v>
      </c>
      <c r="F96" s="223">
        <v>932.3</v>
      </c>
      <c r="G96" s="223">
        <v>958.25</v>
      </c>
      <c r="H96" s="223">
        <v>987.2</v>
      </c>
      <c r="I96" s="223">
        <v>991.99</v>
      </c>
      <c r="J96" s="223">
        <v>978.98</v>
      </c>
      <c r="K96" s="223">
        <v>970.46</v>
      </c>
      <c r="L96" s="223">
        <v>1006.97</v>
      </c>
      <c r="M96" s="223">
        <v>1009.17</v>
      </c>
    </row>
    <row r="97" spans="1:13" s="224" customFormat="1" thickBot="1" x14ac:dyDescent="0.35">
      <c r="A97" s="221">
        <v>29004</v>
      </c>
      <c r="B97" s="222" t="s">
        <v>316</v>
      </c>
      <c r="C97" s="223">
        <v>450.06</v>
      </c>
      <c r="D97" s="223">
        <v>451.44</v>
      </c>
      <c r="E97" s="223">
        <v>457.07</v>
      </c>
      <c r="F97" s="223">
        <v>456.2</v>
      </c>
      <c r="G97" s="223">
        <v>465.05</v>
      </c>
      <c r="H97" s="223">
        <v>453.04</v>
      </c>
      <c r="I97" s="223">
        <v>443.01</v>
      </c>
      <c r="J97" s="223">
        <v>424.03</v>
      </c>
      <c r="K97" s="223">
        <v>447</v>
      </c>
      <c r="L97" s="223">
        <v>457.02</v>
      </c>
      <c r="M97" s="223">
        <v>470.03</v>
      </c>
    </row>
    <row r="98" spans="1:13" s="224" customFormat="1" thickBot="1" x14ac:dyDescent="0.35">
      <c r="A98" s="221">
        <v>17002</v>
      </c>
      <c r="B98" s="222" t="s">
        <v>249</v>
      </c>
      <c r="C98" s="223">
        <v>2712.23</v>
      </c>
      <c r="D98" s="223">
        <v>2746.56</v>
      </c>
      <c r="E98" s="223">
        <v>2785.05</v>
      </c>
      <c r="F98" s="223">
        <v>2783.9</v>
      </c>
      <c r="G98" s="223">
        <v>2791.14</v>
      </c>
      <c r="H98" s="223">
        <v>2795.95</v>
      </c>
      <c r="I98" s="223">
        <v>2783.6400000000003</v>
      </c>
      <c r="J98" s="223">
        <v>2801.72</v>
      </c>
      <c r="K98" s="223">
        <v>2747.4</v>
      </c>
      <c r="L98" s="223">
        <v>2729.9</v>
      </c>
      <c r="M98" s="223">
        <v>2732.77</v>
      </c>
    </row>
    <row r="99" spans="1:13" s="224" customFormat="1" thickBot="1" x14ac:dyDescent="0.35">
      <c r="A99" s="221">
        <v>62006</v>
      </c>
      <c r="B99" s="222" t="s">
        <v>250</v>
      </c>
      <c r="C99" s="223">
        <v>655</v>
      </c>
      <c r="D99" s="223">
        <v>675.03</v>
      </c>
      <c r="E99" s="223">
        <v>682.26</v>
      </c>
      <c r="F99" s="223">
        <v>660.42</v>
      </c>
      <c r="G99" s="223">
        <v>627.02</v>
      </c>
      <c r="H99" s="223">
        <v>618.41999999999996</v>
      </c>
      <c r="I99" s="223">
        <v>603.86</v>
      </c>
      <c r="J99" s="223">
        <v>621.14</v>
      </c>
      <c r="K99" s="223">
        <v>621</v>
      </c>
      <c r="L99" s="223">
        <v>575</v>
      </c>
      <c r="M99" s="223">
        <v>593.14</v>
      </c>
    </row>
    <row r="100" spans="1:13" s="224" customFormat="1" thickBot="1" x14ac:dyDescent="0.35">
      <c r="A100" s="221">
        <v>43002</v>
      </c>
      <c r="B100" s="222" t="s">
        <v>251</v>
      </c>
      <c r="C100" s="223">
        <v>225</v>
      </c>
      <c r="D100" s="223">
        <v>231</v>
      </c>
      <c r="E100" s="223">
        <v>239</v>
      </c>
      <c r="F100" s="223">
        <v>244</v>
      </c>
      <c r="G100" s="223">
        <v>249</v>
      </c>
      <c r="H100" s="223">
        <v>239</v>
      </c>
      <c r="I100" s="223">
        <v>245</v>
      </c>
      <c r="J100" s="223">
        <v>236</v>
      </c>
      <c r="K100" s="223">
        <v>243</v>
      </c>
      <c r="L100" s="223">
        <v>253.12</v>
      </c>
      <c r="M100" s="223">
        <v>255</v>
      </c>
    </row>
    <row r="101" spans="1:13" s="224" customFormat="1" thickBot="1" x14ac:dyDescent="0.35">
      <c r="A101" s="221">
        <v>17003</v>
      </c>
      <c r="B101" s="222" t="s">
        <v>252</v>
      </c>
      <c r="C101" s="223">
        <v>222.2</v>
      </c>
      <c r="D101" s="223">
        <v>208</v>
      </c>
      <c r="E101" s="223">
        <v>205</v>
      </c>
      <c r="F101" s="223">
        <v>200</v>
      </c>
      <c r="G101" s="223">
        <v>215</v>
      </c>
      <c r="H101" s="223">
        <v>213</v>
      </c>
      <c r="I101" s="223">
        <v>228</v>
      </c>
      <c r="J101" s="223">
        <v>220.2</v>
      </c>
      <c r="K101" s="223">
        <v>256</v>
      </c>
      <c r="L101" s="223">
        <v>261</v>
      </c>
      <c r="M101" s="223">
        <v>251</v>
      </c>
    </row>
    <row r="102" spans="1:13" s="224" customFormat="1" thickBot="1" x14ac:dyDescent="0.35">
      <c r="A102" s="221">
        <v>51003</v>
      </c>
      <c r="B102" s="222" t="s">
        <v>253</v>
      </c>
      <c r="C102" s="223">
        <v>263</v>
      </c>
      <c r="D102" s="223">
        <v>265</v>
      </c>
      <c r="E102" s="223">
        <v>258</v>
      </c>
      <c r="F102" s="223">
        <v>246</v>
      </c>
      <c r="G102" s="223">
        <v>237</v>
      </c>
      <c r="H102" s="223">
        <v>237</v>
      </c>
      <c r="I102" s="223">
        <v>249</v>
      </c>
      <c r="J102" s="223">
        <v>268</v>
      </c>
      <c r="K102" s="223">
        <v>287</v>
      </c>
      <c r="L102" s="223">
        <v>291</v>
      </c>
      <c r="M102" s="223">
        <v>274</v>
      </c>
    </row>
    <row r="103" spans="1:13" s="224" customFormat="1" thickBot="1" x14ac:dyDescent="0.35">
      <c r="A103" s="221">
        <v>9002</v>
      </c>
      <c r="B103" s="222" t="s">
        <v>254</v>
      </c>
      <c r="C103" s="223">
        <v>325.7</v>
      </c>
      <c r="D103" s="223">
        <v>331</v>
      </c>
      <c r="E103" s="223">
        <v>288.72000000000003</v>
      </c>
      <c r="F103" s="223">
        <v>297.47000000000003</v>
      </c>
      <c r="G103" s="223">
        <v>292</v>
      </c>
      <c r="H103" s="223">
        <v>285</v>
      </c>
      <c r="I103" s="223">
        <v>259.38</v>
      </c>
      <c r="J103" s="223">
        <v>255.49</v>
      </c>
      <c r="K103" s="223">
        <v>247.47</v>
      </c>
      <c r="L103" s="223">
        <v>269</v>
      </c>
      <c r="M103" s="223">
        <v>223.91</v>
      </c>
    </row>
    <row r="104" spans="1:13" s="224" customFormat="1" thickBot="1" x14ac:dyDescent="0.35">
      <c r="A104" s="221">
        <v>56007</v>
      </c>
      <c r="B104" s="222" t="s">
        <v>255</v>
      </c>
      <c r="C104" s="223">
        <v>260</v>
      </c>
      <c r="D104" s="223">
        <v>236</v>
      </c>
      <c r="E104" s="223">
        <v>243</v>
      </c>
      <c r="F104" s="223">
        <v>227</v>
      </c>
      <c r="G104" s="223">
        <v>254</v>
      </c>
      <c r="H104" s="223">
        <v>266</v>
      </c>
      <c r="I104" s="223">
        <v>296</v>
      </c>
      <c r="J104" s="223">
        <v>309</v>
      </c>
      <c r="K104" s="223">
        <v>303</v>
      </c>
      <c r="L104" s="223">
        <v>318.60000000000002</v>
      </c>
      <c r="M104" s="223">
        <v>346.1</v>
      </c>
    </row>
    <row r="105" spans="1:13" s="224" customFormat="1" thickBot="1" x14ac:dyDescent="0.35">
      <c r="A105" s="221">
        <v>23003</v>
      </c>
      <c r="B105" s="222" t="s">
        <v>256</v>
      </c>
      <c r="C105" s="223">
        <v>123</v>
      </c>
      <c r="D105" s="223">
        <v>112</v>
      </c>
      <c r="E105" s="223">
        <v>98</v>
      </c>
      <c r="F105" s="223">
        <v>136</v>
      </c>
      <c r="G105" s="223">
        <v>134</v>
      </c>
      <c r="H105" s="223">
        <v>136</v>
      </c>
      <c r="I105" s="223">
        <v>121</v>
      </c>
      <c r="J105" s="223">
        <v>128</v>
      </c>
      <c r="K105" s="223">
        <v>139</v>
      </c>
      <c r="L105" s="223">
        <v>115</v>
      </c>
      <c r="M105" s="223">
        <v>106</v>
      </c>
    </row>
    <row r="106" spans="1:13" s="224" customFormat="1" thickBot="1" x14ac:dyDescent="0.35">
      <c r="A106" s="221">
        <v>65001</v>
      </c>
      <c r="B106" s="222" t="s">
        <v>306</v>
      </c>
      <c r="C106" s="223">
        <v>1391.42</v>
      </c>
      <c r="D106" s="223">
        <v>1373.18</v>
      </c>
      <c r="E106" s="223">
        <v>1438.18</v>
      </c>
      <c r="F106" s="223">
        <v>1402.8</v>
      </c>
      <c r="G106" s="223">
        <v>1371.56</v>
      </c>
      <c r="H106" s="223">
        <v>1314.96</v>
      </c>
      <c r="I106" s="223">
        <v>1287.8400000000001</v>
      </c>
      <c r="J106" s="223">
        <v>1757.26</v>
      </c>
      <c r="K106" s="223">
        <v>1752.6</v>
      </c>
      <c r="L106" s="223">
        <v>1727.9</v>
      </c>
      <c r="M106" s="223">
        <v>1782.3</v>
      </c>
    </row>
    <row r="107" spans="1:13" s="224" customFormat="1" thickBot="1" x14ac:dyDescent="0.35">
      <c r="A107" s="221">
        <v>39006</v>
      </c>
      <c r="B107" s="222" t="s">
        <v>444</v>
      </c>
      <c r="C107" s="223"/>
      <c r="D107" s="223"/>
      <c r="E107" s="223"/>
      <c r="F107" s="223"/>
      <c r="G107" s="223"/>
      <c r="H107" s="223"/>
      <c r="I107" s="223"/>
      <c r="J107" s="223"/>
      <c r="K107" s="223"/>
      <c r="L107" s="223">
        <v>0</v>
      </c>
      <c r="M107" s="223">
        <v>312</v>
      </c>
    </row>
    <row r="108" spans="1:13" s="224" customFormat="1" thickBot="1" x14ac:dyDescent="0.35">
      <c r="A108" s="221">
        <v>60004</v>
      </c>
      <c r="B108" s="222" t="s">
        <v>259</v>
      </c>
      <c r="C108" s="223">
        <v>362.5</v>
      </c>
      <c r="D108" s="223">
        <v>383</v>
      </c>
      <c r="E108" s="223">
        <v>392.4</v>
      </c>
      <c r="F108" s="223">
        <v>419</v>
      </c>
      <c r="G108" s="223">
        <v>442</v>
      </c>
      <c r="H108" s="223">
        <v>437</v>
      </c>
      <c r="I108" s="223">
        <v>462</v>
      </c>
      <c r="J108" s="223">
        <v>477</v>
      </c>
      <c r="K108" s="223">
        <v>481.2</v>
      </c>
      <c r="L108" s="223">
        <v>485</v>
      </c>
      <c r="M108" s="223">
        <v>462.91</v>
      </c>
    </row>
    <row r="109" spans="1:13" s="224" customFormat="1" thickBot="1" x14ac:dyDescent="0.35">
      <c r="A109" s="221">
        <v>33003</v>
      </c>
      <c r="B109" s="222" t="s">
        <v>260</v>
      </c>
      <c r="C109" s="223">
        <v>556</v>
      </c>
      <c r="D109" s="223">
        <v>536</v>
      </c>
      <c r="E109" s="223">
        <v>530.77</v>
      </c>
      <c r="F109" s="223">
        <v>516.69000000000005</v>
      </c>
      <c r="G109" s="223">
        <v>521.03</v>
      </c>
      <c r="H109" s="223">
        <v>534</v>
      </c>
      <c r="I109" s="223">
        <v>542</v>
      </c>
      <c r="J109" s="223">
        <v>529</v>
      </c>
      <c r="K109" s="223">
        <v>514.4</v>
      </c>
      <c r="L109" s="223">
        <v>544.1</v>
      </c>
      <c r="M109" s="223">
        <v>543.1</v>
      </c>
    </row>
    <row r="110" spans="1:13" s="224" customFormat="1" thickBot="1" x14ac:dyDescent="0.35">
      <c r="A110" s="221">
        <v>32002</v>
      </c>
      <c r="B110" s="222" t="s">
        <v>261</v>
      </c>
      <c r="C110" s="223">
        <v>2643.51</v>
      </c>
      <c r="D110" s="223">
        <v>2652.3</v>
      </c>
      <c r="E110" s="223">
        <v>2664.56</v>
      </c>
      <c r="F110" s="223">
        <v>2682.24</v>
      </c>
      <c r="G110" s="223">
        <v>2716.42</v>
      </c>
      <c r="H110" s="223">
        <v>2669</v>
      </c>
      <c r="I110" s="223">
        <v>2789.66</v>
      </c>
      <c r="J110" s="223">
        <v>2778.97</v>
      </c>
      <c r="K110" s="223">
        <v>2815.88</v>
      </c>
      <c r="L110" s="223">
        <v>2779.44</v>
      </c>
      <c r="M110" s="223">
        <v>2699.13</v>
      </c>
    </row>
    <row r="111" spans="1:13" s="224" customFormat="1" thickBot="1" x14ac:dyDescent="0.35">
      <c r="A111" s="221">
        <v>1001</v>
      </c>
      <c r="B111" s="222" t="s">
        <v>262</v>
      </c>
      <c r="C111" s="223">
        <v>311</v>
      </c>
      <c r="D111" s="223">
        <v>330</v>
      </c>
      <c r="E111" s="223">
        <v>338</v>
      </c>
      <c r="F111" s="223">
        <v>309</v>
      </c>
      <c r="G111" s="223">
        <v>299</v>
      </c>
      <c r="H111" s="223">
        <v>341</v>
      </c>
      <c r="I111" s="223">
        <v>317</v>
      </c>
      <c r="J111" s="223">
        <v>279</v>
      </c>
      <c r="K111" s="223">
        <v>286</v>
      </c>
      <c r="L111" s="223">
        <v>268</v>
      </c>
      <c r="M111" s="223">
        <v>285</v>
      </c>
    </row>
    <row r="112" spans="1:13" s="224" customFormat="1" thickBot="1" x14ac:dyDescent="0.35">
      <c r="A112" s="221">
        <v>11005</v>
      </c>
      <c r="B112" s="222" t="s">
        <v>263</v>
      </c>
      <c r="C112" s="223">
        <v>457.4</v>
      </c>
      <c r="D112" s="223">
        <v>466</v>
      </c>
      <c r="E112" s="223">
        <v>484.05</v>
      </c>
      <c r="F112" s="223">
        <v>500.08</v>
      </c>
      <c r="G112" s="223">
        <v>503.4</v>
      </c>
      <c r="H112" s="223">
        <v>503.37</v>
      </c>
      <c r="I112" s="223">
        <v>501.71</v>
      </c>
      <c r="J112" s="223">
        <v>504.2</v>
      </c>
      <c r="K112" s="223">
        <v>500.63</v>
      </c>
      <c r="L112" s="223">
        <v>512.65</v>
      </c>
      <c r="M112" s="223">
        <v>513</v>
      </c>
    </row>
    <row r="113" spans="1:13" s="224" customFormat="1" thickBot="1" x14ac:dyDescent="0.35">
      <c r="A113" s="221">
        <v>51004</v>
      </c>
      <c r="B113" s="222" t="s">
        <v>264</v>
      </c>
      <c r="C113" s="223">
        <v>13811.58</v>
      </c>
      <c r="D113" s="223">
        <v>13842.35</v>
      </c>
      <c r="E113" s="223">
        <v>13638.6</v>
      </c>
      <c r="F113" s="223">
        <v>13656.02</v>
      </c>
      <c r="G113" s="223">
        <v>13628.25</v>
      </c>
      <c r="H113" s="223">
        <v>13679.67</v>
      </c>
      <c r="I113" s="223">
        <v>13483.95</v>
      </c>
      <c r="J113" s="223">
        <v>12671.53</v>
      </c>
      <c r="K113" s="223">
        <v>12711.2</v>
      </c>
      <c r="L113" s="223">
        <v>12665.26</v>
      </c>
      <c r="M113" s="223">
        <v>12419.76</v>
      </c>
    </row>
    <row r="114" spans="1:13" s="224" customFormat="1" thickBot="1" x14ac:dyDescent="0.35">
      <c r="A114" s="221">
        <v>56004</v>
      </c>
      <c r="B114" s="222" t="s">
        <v>265</v>
      </c>
      <c r="C114" s="223">
        <v>623.45000000000005</v>
      </c>
      <c r="D114" s="223">
        <v>643.5</v>
      </c>
      <c r="E114" s="223">
        <v>600.54999999999995</v>
      </c>
      <c r="F114" s="223">
        <v>617.35</v>
      </c>
      <c r="G114" s="223">
        <v>592.05999999999995</v>
      </c>
      <c r="H114" s="223">
        <v>591.65</v>
      </c>
      <c r="I114" s="223">
        <v>584.4</v>
      </c>
      <c r="J114" s="223">
        <v>560.15</v>
      </c>
      <c r="K114" s="223">
        <v>547.20000000000005</v>
      </c>
      <c r="L114" s="223">
        <v>529.1</v>
      </c>
      <c r="M114" s="223">
        <v>510.15</v>
      </c>
    </row>
    <row r="115" spans="1:13" s="224" customFormat="1" thickBot="1" x14ac:dyDescent="0.35">
      <c r="A115" s="221">
        <v>54004</v>
      </c>
      <c r="B115" s="222" t="s">
        <v>266</v>
      </c>
      <c r="C115" s="223">
        <v>211</v>
      </c>
      <c r="D115" s="223">
        <v>214</v>
      </c>
      <c r="E115" s="223">
        <v>230</v>
      </c>
      <c r="F115" s="223">
        <v>229</v>
      </c>
      <c r="G115" s="223">
        <v>244</v>
      </c>
      <c r="H115" s="223">
        <v>249</v>
      </c>
      <c r="I115" s="223">
        <v>243</v>
      </c>
      <c r="J115" s="223">
        <v>241</v>
      </c>
      <c r="K115" s="223">
        <v>242</v>
      </c>
      <c r="L115" s="223">
        <v>232</v>
      </c>
      <c r="M115" s="223">
        <v>228</v>
      </c>
    </row>
    <row r="116" spans="1:13" s="224" customFormat="1" thickBot="1" x14ac:dyDescent="0.35">
      <c r="A116" s="221">
        <v>55005</v>
      </c>
      <c r="B116" s="222" t="s">
        <v>268</v>
      </c>
      <c r="C116" s="223">
        <v>197</v>
      </c>
      <c r="D116" s="223">
        <v>186</v>
      </c>
      <c r="E116" s="223">
        <v>183</v>
      </c>
      <c r="F116" s="223">
        <v>190</v>
      </c>
      <c r="G116" s="223">
        <v>180</v>
      </c>
      <c r="H116" s="223">
        <v>189</v>
      </c>
      <c r="I116" s="223">
        <v>179</v>
      </c>
      <c r="J116" s="223">
        <v>184</v>
      </c>
      <c r="K116" s="223">
        <v>207</v>
      </c>
      <c r="L116" s="223">
        <v>200</v>
      </c>
      <c r="M116" s="223">
        <v>198</v>
      </c>
    </row>
    <row r="117" spans="1:13" s="224" customFormat="1" thickBot="1" x14ac:dyDescent="0.35">
      <c r="A117" s="221">
        <v>4003</v>
      </c>
      <c r="B117" s="222" t="s">
        <v>269</v>
      </c>
      <c r="C117" s="223">
        <v>264</v>
      </c>
      <c r="D117" s="223">
        <v>262</v>
      </c>
      <c r="E117" s="223">
        <v>252</v>
      </c>
      <c r="F117" s="223">
        <v>267</v>
      </c>
      <c r="G117" s="223">
        <v>266</v>
      </c>
      <c r="H117" s="223">
        <v>253</v>
      </c>
      <c r="I117" s="223">
        <v>256</v>
      </c>
      <c r="J117" s="223">
        <v>253</v>
      </c>
      <c r="K117" s="223">
        <v>261</v>
      </c>
      <c r="L117" s="223">
        <v>267.88</v>
      </c>
      <c r="M117" s="223">
        <v>254.42</v>
      </c>
    </row>
    <row r="118" spans="1:13" s="224" customFormat="1" thickBot="1" x14ac:dyDescent="0.35">
      <c r="A118" s="221">
        <v>62005</v>
      </c>
      <c r="B118" s="222" t="s">
        <v>305</v>
      </c>
      <c r="C118" s="223">
        <v>189</v>
      </c>
      <c r="D118" s="223">
        <v>176</v>
      </c>
      <c r="E118" s="223">
        <v>177</v>
      </c>
      <c r="F118" s="223">
        <v>193</v>
      </c>
      <c r="G118" s="223">
        <v>184</v>
      </c>
      <c r="H118" s="223">
        <v>183</v>
      </c>
      <c r="I118" s="223">
        <v>173</v>
      </c>
      <c r="J118" s="223">
        <v>166</v>
      </c>
      <c r="K118" s="223">
        <v>170</v>
      </c>
      <c r="L118" s="223">
        <v>173</v>
      </c>
      <c r="M118" s="223">
        <v>176</v>
      </c>
    </row>
    <row r="119" spans="1:13" s="224" customFormat="1" thickBot="1" x14ac:dyDescent="0.35">
      <c r="A119" s="221">
        <v>49005</v>
      </c>
      <c r="B119" s="222" t="s">
        <v>271</v>
      </c>
      <c r="C119" s="223">
        <v>22691.95</v>
      </c>
      <c r="D119" s="223">
        <v>23119.47</v>
      </c>
      <c r="E119" s="223">
        <v>23354.89</v>
      </c>
      <c r="F119" s="223">
        <v>23744.41</v>
      </c>
      <c r="G119" s="223">
        <v>23924.25</v>
      </c>
      <c r="H119" s="223">
        <v>24024.78</v>
      </c>
      <c r="I119" s="223">
        <v>24331.31</v>
      </c>
      <c r="J119" s="223">
        <v>24009.49</v>
      </c>
      <c r="K119" s="223">
        <v>24080.560000000001</v>
      </c>
      <c r="L119" s="223">
        <v>24343.57</v>
      </c>
      <c r="M119" s="223">
        <v>24447.69</v>
      </c>
    </row>
    <row r="120" spans="1:13" s="224" customFormat="1" thickBot="1" x14ac:dyDescent="0.35">
      <c r="A120" s="221">
        <v>5005</v>
      </c>
      <c r="B120" s="222" t="s">
        <v>272</v>
      </c>
      <c r="C120" s="223">
        <v>582.41999999999996</v>
      </c>
      <c r="D120" s="223">
        <v>633.26</v>
      </c>
      <c r="E120" s="223">
        <v>643.42999999999995</v>
      </c>
      <c r="F120" s="223">
        <v>674.85</v>
      </c>
      <c r="G120" s="223">
        <v>659.05</v>
      </c>
      <c r="H120" s="223">
        <v>682.67</v>
      </c>
      <c r="I120" s="223">
        <v>673.28</v>
      </c>
      <c r="J120" s="223">
        <v>670.76</v>
      </c>
      <c r="K120" s="223">
        <v>692.5</v>
      </c>
      <c r="L120" s="223">
        <v>741.63</v>
      </c>
      <c r="M120" s="223">
        <v>724.6</v>
      </c>
    </row>
    <row r="121" spans="1:13" s="224" customFormat="1" thickBot="1" x14ac:dyDescent="0.35">
      <c r="A121" s="221">
        <v>54002</v>
      </c>
      <c r="B121" s="222" t="s">
        <v>273</v>
      </c>
      <c r="C121" s="223">
        <v>905</v>
      </c>
      <c r="D121" s="223">
        <v>925</v>
      </c>
      <c r="E121" s="223">
        <v>904</v>
      </c>
      <c r="F121" s="223">
        <v>894</v>
      </c>
      <c r="G121" s="223">
        <v>885</v>
      </c>
      <c r="H121" s="223">
        <v>897</v>
      </c>
      <c r="I121" s="223">
        <v>959</v>
      </c>
      <c r="J121" s="223">
        <v>918.56</v>
      </c>
      <c r="K121" s="223">
        <v>933.23</v>
      </c>
      <c r="L121" s="223">
        <v>959.38</v>
      </c>
      <c r="M121" s="223">
        <v>949</v>
      </c>
    </row>
    <row r="122" spans="1:13" s="224" customFormat="1" thickBot="1" x14ac:dyDescent="0.35">
      <c r="A122" s="221">
        <v>15003</v>
      </c>
      <c r="B122" s="222" t="s">
        <v>274</v>
      </c>
      <c r="C122" s="223">
        <v>180</v>
      </c>
      <c r="D122" s="223">
        <v>184.5</v>
      </c>
      <c r="E122" s="223">
        <v>164</v>
      </c>
      <c r="F122" s="223">
        <v>173</v>
      </c>
      <c r="G122" s="223">
        <v>197</v>
      </c>
      <c r="H122" s="223">
        <v>179</v>
      </c>
      <c r="I122" s="223">
        <v>196</v>
      </c>
      <c r="J122" s="223">
        <v>198</v>
      </c>
      <c r="K122" s="223">
        <v>174.4</v>
      </c>
      <c r="L122" s="223">
        <v>189</v>
      </c>
      <c r="M122" s="223">
        <v>183</v>
      </c>
    </row>
    <row r="123" spans="1:13" s="224" customFormat="1" thickBot="1" x14ac:dyDescent="0.35">
      <c r="A123" s="221">
        <v>26005</v>
      </c>
      <c r="B123" s="222" t="s">
        <v>275</v>
      </c>
      <c r="C123" s="223">
        <v>110</v>
      </c>
      <c r="D123" s="223">
        <v>111</v>
      </c>
      <c r="E123" s="223">
        <v>107</v>
      </c>
      <c r="F123" s="223">
        <v>97</v>
      </c>
      <c r="G123" s="223">
        <v>98</v>
      </c>
      <c r="H123" s="223">
        <v>86</v>
      </c>
      <c r="I123" s="223">
        <v>79</v>
      </c>
      <c r="J123" s="223">
        <v>57</v>
      </c>
      <c r="K123" s="223">
        <v>70</v>
      </c>
      <c r="L123" s="223">
        <v>70</v>
      </c>
      <c r="M123" s="223">
        <v>83</v>
      </c>
    </row>
    <row r="124" spans="1:13" s="224" customFormat="1" thickBot="1" x14ac:dyDescent="0.35">
      <c r="A124" s="221">
        <v>40002</v>
      </c>
      <c r="B124" s="222" t="s">
        <v>276</v>
      </c>
      <c r="C124" s="223">
        <v>2142.8000000000002</v>
      </c>
      <c r="D124" s="223">
        <v>2207.42</v>
      </c>
      <c r="E124" s="223">
        <v>2237.0100000000002</v>
      </c>
      <c r="F124" s="223">
        <v>2327.85</v>
      </c>
      <c r="G124" s="223">
        <v>2398.14</v>
      </c>
      <c r="H124" s="223">
        <v>2390.0700000000002</v>
      </c>
      <c r="I124" s="223">
        <v>2394.1999999999998</v>
      </c>
      <c r="J124" s="223">
        <v>2361.48</v>
      </c>
      <c r="K124" s="223">
        <v>2414.98</v>
      </c>
      <c r="L124" s="223">
        <v>2437.7199999999998</v>
      </c>
      <c r="M124" s="223">
        <v>2403.7399999999998</v>
      </c>
    </row>
    <row r="125" spans="1:13" s="224" customFormat="1" thickBot="1" x14ac:dyDescent="0.35">
      <c r="A125" s="221">
        <v>57001</v>
      </c>
      <c r="B125" s="222" t="s">
        <v>277</v>
      </c>
      <c r="C125" s="223">
        <v>418.61</v>
      </c>
      <c r="D125" s="223">
        <v>433.17</v>
      </c>
      <c r="E125" s="223">
        <v>427</v>
      </c>
      <c r="F125" s="223">
        <v>436</v>
      </c>
      <c r="G125" s="223">
        <v>449</v>
      </c>
      <c r="H125" s="223">
        <v>435.86</v>
      </c>
      <c r="I125" s="223">
        <v>406</v>
      </c>
      <c r="J125" s="223">
        <v>415</v>
      </c>
      <c r="K125" s="223">
        <v>416</v>
      </c>
      <c r="L125" s="223">
        <v>417.8</v>
      </c>
      <c r="M125" s="223">
        <v>421.22</v>
      </c>
    </row>
    <row r="126" spans="1:13" s="224" customFormat="1" thickBot="1" x14ac:dyDescent="0.35">
      <c r="A126" s="221">
        <v>54006</v>
      </c>
      <c r="B126" s="222" t="s">
        <v>278</v>
      </c>
      <c r="C126" s="223">
        <v>164</v>
      </c>
      <c r="D126" s="223">
        <v>141</v>
      </c>
      <c r="E126" s="223">
        <v>153</v>
      </c>
      <c r="F126" s="223">
        <v>143</v>
      </c>
      <c r="G126" s="223">
        <v>150</v>
      </c>
      <c r="H126" s="223">
        <v>158</v>
      </c>
      <c r="I126" s="223">
        <v>171.15</v>
      </c>
      <c r="J126" s="223">
        <v>176</v>
      </c>
      <c r="K126" s="223">
        <v>165</v>
      </c>
      <c r="L126" s="223">
        <v>174</v>
      </c>
      <c r="M126" s="223">
        <v>172</v>
      </c>
    </row>
    <row r="127" spans="1:13" s="224" customFormat="1" thickBot="1" x14ac:dyDescent="0.35">
      <c r="A127" s="221">
        <v>41005</v>
      </c>
      <c r="B127" s="222" t="s">
        <v>279</v>
      </c>
      <c r="C127" s="223">
        <v>1496.38</v>
      </c>
      <c r="D127" s="223">
        <v>1500</v>
      </c>
      <c r="E127" s="223">
        <v>1608.23</v>
      </c>
      <c r="F127" s="223">
        <v>1709.51</v>
      </c>
      <c r="G127" s="223">
        <v>1791.25</v>
      </c>
      <c r="H127" s="223">
        <v>1906.5</v>
      </c>
      <c r="I127" s="223">
        <v>1962.25</v>
      </c>
      <c r="J127" s="223">
        <v>2061.25</v>
      </c>
      <c r="K127" s="223">
        <v>2174.56</v>
      </c>
      <c r="L127" s="223">
        <v>2302.5100000000002</v>
      </c>
      <c r="M127" s="223">
        <v>2428.62</v>
      </c>
    </row>
    <row r="128" spans="1:13" s="224" customFormat="1" thickBot="1" x14ac:dyDescent="0.35">
      <c r="A128" s="221">
        <v>20003</v>
      </c>
      <c r="B128" s="222" t="s">
        <v>280</v>
      </c>
      <c r="C128" s="223">
        <v>352</v>
      </c>
      <c r="D128" s="223">
        <v>341</v>
      </c>
      <c r="E128" s="223">
        <v>329</v>
      </c>
      <c r="F128" s="223">
        <v>339</v>
      </c>
      <c r="G128" s="223">
        <v>352.29</v>
      </c>
      <c r="H128" s="223">
        <v>335</v>
      </c>
      <c r="I128" s="223">
        <v>349</v>
      </c>
      <c r="J128" s="223">
        <v>334</v>
      </c>
      <c r="K128" s="223">
        <v>339</v>
      </c>
      <c r="L128" s="223">
        <v>341</v>
      </c>
      <c r="M128" s="223">
        <v>369</v>
      </c>
    </row>
    <row r="129" spans="1:13" s="224" customFormat="1" thickBot="1" x14ac:dyDescent="0.35">
      <c r="A129" s="221">
        <v>66001</v>
      </c>
      <c r="B129" s="222" t="s">
        <v>281</v>
      </c>
      <c r="C129" s="223">
        <v>2098</v>
      </c>
      <c r="D129" s="223">
        <v>2054</v>
      </c>
      <c r="E129" s="223">
        <v>2024.3</v>
      </c>
      <c r="F129" s="223">
        <v>2042.31</v>
      </c>
      <c r="G129" s="223">
        <v>2060.3000000000002</v>
      </c>
      <c r="H129" s="223">
        <v>2106.8000000000002</v>
      </c>
      <c r="I129" s="223">
        <v>2147.61</v>
      </c>
      <c r="J129" s="223">
        <v>2181.1</v>
      </c>
      <c r="K129" s="223">
        <v>2015.3</v>
      </c>
      <c r="L129" s="223">
        <v>2061.8000000000002</v>
      </c>
      <c r="M129" s="223">
        <v>2058.1</v>
      </c>
    </row>
    <row r="130" spans="1:13" s="224" customFormat="1" thickBot="1" x14ac:dyDescent="0.35">
      <c r="A130" s="221">
        <v>33005</v>
      </c>
      <c r="B130" s="222" t="s">
        <v>282</v>
      </c>
      <c r="C130" s="223">
        <v>191</v>
      </c>
      <c r="D130" s="223">
        <v>166</v>
      </c>
      <c r="E130" s="223">
        <v>158</v>
      </c>
      <c r="F130" s="223">
        <v>151</v>
      </c>
      <c r="G130" s="223">
        <v>151</v>
      </c>
      <c r="H130" s="223">
        <v>130</v>
      </c>
      <c r="I130" s="223">
        <v>125</v>
      </c>
      <c r="J130" s="223">
        <v>143</v>
      </c>
      <c r="K130" s="223">
        <v>161.01</v>
      </c>
      <c r="L130" s="223">
        <v>160</v>
      </c>
      <c r="M130" s="223">
        <v>146</v>
      </c>
    </row>
    <row r="131" spans="1:13" s="224" customFormat="1" thickBot="1" x14ac:dyDescent="0.35">
      <c r="A131" s="221">
        <v>49006</v>
      </c>
      <c r="B131" s="222" t="s">
        <v>283</v>
      </c>
      <c r="C131" s="223">
        <v>809</v>
      </c>
      <c r="D131" s="223">
        <v>848</v>
      </c>
      <c r="E131" s="223">
        <v>897</v>
      </c>
      <c r="F131" s="223">
        <v>908</v>
      </c>
      <c r="G131" s="223">
        <v>921</v>
      </c>
      <c r="H131" s="223">
        <v>968</v>
      </c>
      <c r="I131" s="223">
        <v>961</v>
      </c>
      <c r="J131" s="223">
        <v>987</v>
      </c>
      <c r="K131" s="223">
        <v>971.5</v>
      </c>
      <c r="L131" s="223">
        <v>951</v>
      </c>
      <c r="M131" s="223">
        <v>936.38</v>
      </c>
    </row>
    <row r="132" spans="1:13" s="224" customFormat="1" thickBot="1" x14ac:dyDescent="0.35">
      <c r="A132" s="221">
        <v>13001</v>
      </c>
      <c r="B132" s="222" t="s">
        <v>284</v>
      </c>
      <c r="C132" s="223">
        <v>1214.1600000000001</v>
      </c>
      <c r="D132" s="223">
        <f>1227.88+1</f>
        <v>1228.8800000000001</v>
      </c>
      <c r="E132" s="223">
        <v>1204.1199999999999</v>
      </c>
      <c r="F132" s="223">
        <v>1202.3399999999999</v>
      </c>
      <c r="G132" s="223">
        <v>1219.79</v>
      </c>
      <c r="H132" s="223">
        <v>1259.26</v>
      </c>
      <c r="I132" s="223">
        <v>1260.58</v>
      </c>
      <c r="J132" s="223">
        <v>1258.6099999999999</v>
      </c>
      <c r="K132" s="223">
        <v>1344.95</v>
      </c>
      <c r="L132" s="223">
        <v>1389.98</v>
      </c>
      <c r="M132" s="223">
        <v>1393.41</v>
      </c>
    </row>
    <row r="133" spans="1:13" s="224" customFormat="1" thickBot="1" x14ac:dyDescent="0.35">
      <c r="A133" s="221">
        <v>60006</v>
      </c>
      <c r="B133" s="222" t="s">
        <v>285</v>
      </c>
      <c r="C133" s="223">
        <v>349</v>
      </c>
      <c r="D133" s="223">
        <v>348.4</v>
      </c>
      <c r="E133" s="223">
        <v>331</v>
      </c>
      <c r="F133" s="223">
        <v>354</v>
      </c>
      <c r="G133" s="223">
        <v>344</v>
      </c>
      <c r="H133" s="223">
        <v>346</v>
      </c>
      <c r="I133" s="223">
        <v>343.7</v>
      </c>
      <c r="J133" s="223">
        <v>349.07</v>
      </c>
      <c r="K133" s="223">
        <v>381.17</v>
      </c>
      <c r="L133" s="223">
        <v>399.21</v>
      </c>
      <c r="M133" s="223">
        <v>384.78</v>
      </c>
    </row>
    <row r="134" spans="1:13" s="224" customFormat="1" thickBot="1" x14ac:dyDescent="0.35">
      <c r="A134" s="221">
        <v>11004</v>
      </c>
      <c r="B134" s="222" t="s">
        <v>304</v>
      </c>
      <c r="C134" s="223">
        <v>769</v>
      </c>
      <c r="D134" s="223">
        <v>812.4</v>
      </c>
      <c r="E134" s="223">
        <v>831</v>
      </c>
      <c r="F134" s="223">
        <v>852.25</v>
      </c>
      <c r="G134" s="223">
        <v>848.99</v>
      </c>
      <c r="H134" s="223">
        <v>839</v>
      </c>
      <c r="I134" s="223">
        <v>807</v>
      </c>
      <c r="J134" s="223">
        <v>820</v>
      </c>
      <c r="K134" s="223">
        <v>800</v>
      </c>
      <c r="L134" s="223">
        <v>792</v>
      </c>
      <c r="M134" s="223">
        <v>787</v>
      </c>
    </row>
    <row r="135" spans="1:13" s="224" customFormat="1" thickBot="1" x14ac:dyDescent="0.35">
      <c r="A135" s="221">
        <v>51005</v>
      </c>
      <c r="B135" s="222" t="s">
        <v>287</v>
      </c>
      <c r="C135" s="223">
        <v>254</v>
      </c>
      <c r="D135" s="223">
        <v>259</v>
      </c>
      <c r="E135" s="223">
        <v>255</v>
      </c>
      <c r="F135" s="223">
        <v>245</v>
      </c>
      <c r="G135" s="223">
        <v>257</v>
      </c>
      <c r="H135" s="223">
        <v>271</v>
      </c>
      <c r="I135" s="223">
        <v>284.52999999999997</v>
      </c>
      <c r="J135" s="223">
        <v>276</v>
      </c>
      <c r="K135" s="223">
        <v>268.51</v>
      </c>
      <c r="L135" s="223">
        <v>284</v>
      </c>
      <c r="M135" s="223">
        <v>279.98</v>
      </c>
    </row>
    <row r="136" spans="1:13" s="224" customFormat="1" thickBot="1" x14ac:dyDescent="0.35">
      <c r="A136" s="221">
        <v>6005</v>
      </c>
      <c r="B136" s="222" t="s">
        <v>288</v>
      </c>
      <c r="C136" s="223">
        <v>317.43</v>
      </c>
      <c r="D136" s="223">
        <v>307</v>
      </c>
      <c r="E136" s="223">
        <v>308</v>
      </c>
      <c r="F136" s="223">
        <v>319</v>
      </c>
      <c r="G136" s="223">
        <v>313</v>
      </c>
      <c r="H136" s="223">
        <v>310</v>
      </c>
      <c r="I136" s="223">
        <v>312.69</v>
      </c>
      <c r="J136" s="223">
        <v>314.88</v>
      </c>
      <c r="K136" s="223">
        <v>315.29000000000002</v>
      </c>
      <c r="L136" s="223">
        <v>313.57</v>
      </c>
      <c r="M136" s="223">
        <v>312</v>
      </c>
    </row>
    <row r="137" spans="1:13" s="224" customFormat="1" thickBot="1" x14ac:dyDescent="0.35">
      <c r="A137" s="221">
        <v>14004</v>
      </c>
      <c r="B137" s="222" t="s">
        <v>289</v>
      </c>
      <c r="C137" s="223">
        <v>3857.12</v>
      </c>
      <c r="D137" s="223">
        <v>3913.23</v>
      </c>
      <c r="E137" s="223">
        <f>3968.17-1</f>
        <v>3967.17</v>
      </c>
      <c r="F137" s="223">
        <v>3950.12</v>
      </c>
      <c r="G137" s="223">
        <v>3930.72</v>
      </c>
      <c r="H137" s="223">
        <v>3927.97</v>
      </c>
      <c r="I137" s="223">
        <v>3858.69</v>
      </c>
      <c r="J137" s="223">
        <v>3867.9</v>
      </c>
      <c r="K137" s="223">
        <v>3835.73</v>
      </c>
      <c r="L137" s="223">
        <v>3734.21</v>
      </c>
      <c r="M137" s="223">
        <v>3640.52</v>
      </c>
    </row>
    <row r="138" spans="1:13" s="224" customFormat="1" thickBot="1" x14ac:dyDescent="0.35">
      <c r="A138" s="221">
        <v>18003</v>
      </c>
      <c r="B138" s="222" t="s">
        <v>290</v>
      </c>
      <c r="C138" s="223">
        <v>160</v>
      </c>
      <c r="D138" s="223">
        <v>156</v>
      </c>
      <c r="E138" s="223">
        <v>173</v>
      </c>
      <c r="F138" s="223">
        <v>169</v>
      </c>
      <c r="G138" s="223">
        <v>169</v>
      </c>
      <c r="H138" s="223">
        <v>170</v>
      </c>
      <c r="I138" s="223">
        <v>173</v>
      </c>
      <c r="J138" s="223">
        <v>184</v>
      </c>
      <c r="K138" s="223">
        <v>175</v>
      </c>
      <c r="L138" s="223">
        <v>174</v>
      </c>
      <c r="M138" s="223">
        <v>163</v>
      </c>
    </row>
    <row r="139" spans="1:13" s="224" customFormat="1" thickBot="1" x14ac:dyDescent="0.35">
      <c r="A139" s="221">
        <v>14005</v>
      </c>
      <c r="B139" s="222" t="s">
        <v>291</v>
      </c>
      <c r="C139" s="223">
        <v>215</v>
      </c>
      <c r="D139" s="223">
        <v>212</v>
      </c>
      <c r="E139" s="223">
        <v>238</v>
      </c>
      <c r="F139" s="223">
        <v>247</v>
      </c>
      <c r="G139" s="223">
        <v>246</v>
      </c>
      <c r="H139" s="223">
        <v>235</v>
      </c>
      <c r="I139" s="223">
        <v>252</v>
      </c>
      <c r="J139" s="223">
        <v>253</v>
      </c>
      <c r="K139" s="223">
        <v>257</v>
      </c>
      <c r="L139" s="223">
        <v>254</v>
      </c>
      <c r="M139" s="223">
        <v>256</v>
      </c>
    </row>
    <row r="140" spans="1:13" s="224" customFormat="1" thickBot="1" x14ac:dyDescent="0.35">
      <c r="A140" s="221">
        <v>18005</v>
      </c>
      <c r="B140" s="222" t="s">
        <v>292</v>
      </c>
      <c r="C140" s="223">
        <v>535</v>
      </c>
      <c r="D140" s="223">
        <v>508</v>
      </c>
      <c r="E140" s="223">
        <v>513</v>
      </c>
      <c r="F140" s="223">
        <v>558</v>
      </c>
      <c r="G140" s="223">
        <v>537</v>
      </c>
      <c r="H140" s="223">
        <v>542</v>
      </c>
      <c r="I140" s="223">
        <v>528</v>
      </c>
      <c r="J140" s="223">
        <v>504</v>
      </c>
      <c r="K140" s="223">
        <v>534</v>
      </c>
      <c r="L140" s="223">
        <v>527</v>
      </c>
      <c r="M140" s="223">
        <v>532.35</v>
      </c>
    </row>
    <row r="141" spans="1:13" s="224" customFormat="1" thickBot="1" x14ac:dyDescent="0.35">
      <c r="A141" s="221">
        <v>36002</v>
      </c>
      <c r="B141" s="222" t="s">
        <v>293</v>
      </c>
      <c r="C141" s="223">
        <v>281</v>
      </c>
      <c r="D141" s="223">
        <v>319</v>
      </c>
      <c r="E141" s="223">
        <v>339</v>
      </c>
      <c r="F141" s="223">
        <v>328</v>
      </c>
      <c r="G141" s="223">
        <v>332</v>
      </c>
      <c r="H141" s="223">
        <v>312.18</v>
      </c>
      <c r="I141" s="223">
        <v>321.2</v>
      </c>
      <c r="J141" s="223">
        <v>376.2</v>
      </c>
      <c r="K141" s="223">
        <v>370.6</v>
      </c>
      <c r="L141" s="223">
        <v>402</v>
      </c>
      <c r="M141" s="223">
        <v>413.6</v>
      </c>
    </row>
    <row r="142" spans="1:13" s="224" customFormat="1" thickBot="1" x14ac:dyDescent="0.35">
      <c r="A142" s="221">
        <v>49007</v>
      </c>
      <c r="B142" s="222" t="s">
        <v>294</v>
      </c>
      <c r="C142" s="223">
        <v>1372.72</v>
      </c>
      <c r="D142" s="223">
        <v>1340.93</v>
      </c>
      <c r="E142" s="223">
        <v>1375.93</v>
      </c>
      <c r="F142" s="223">
        <v>1372.56</v>
      </c>
      <c r="G142" s="223">
        <v>1364.2</v>
      </c>
      <c r="H142" s="223">
        <v>1410.25</v>
      </c>
      <c r="I142" s="223">
        <v>1379.4</v>
      </c>
      <c r="J142" s="223">
        <v>1384</v>
      </c>
      <c r="K142" s="223">
        <v>1429</v>
      </c>
      <c r="L142" s="223">
        <v>1428.13</v>
      </c>
      <c r="M142" s="223">
        <v>1422.39</v>
      </c>
    </row>
    <row r="143" spans="1:13" s="224" customFormat="1" thickBot="1" x14ac:dyDescent="0.35">
      <c r="A143" s="221">
        <v>1003</v>
      </c>
      <c r="B143" s="222" t="s">
        <v>295</v>
      </c>
      <c r="C143" s="223">
        <v>114</v>
      </c>
      <c r="D143" s="223">
        <v>116</v>
      </c>
      <c r="E143" s="223">
        <v>110</v>
      </c>
      <c r="F143" s="223">
        <v>110</v>
      </c>
      <c r="G143" s="223">
        <v>116</v>
      </c>
      <c r="H143" s="223">
        <v>119</v>
      </c>
      <c r="I143" s="223">
        <v>125</v>
      </c>
      <c r="J143" s="223">
        <v>119</v>
      </c>
      <c r="K143" s="223">
        <v>132</v>
      </c>
      <c r="L143" s="223">
        <v>122</v>
      </c>
      <c r="M143" s="223">
        <v>117</v>
      </c>
    </row>
    <row r="144" spans="1:13" s="224" customFormat="1" thickBot="1" x14ac:dyDescent="0.35">
      <c r="A144" s="221">
        <v>47001</v>
      </c>
      <c r="B144" s="222" t="s">
        <v>296</v>
      </c>
      <c r="C144" s="223">
        <v>408.49</v>
      </c>
      <c r="D144" s="223">
        <v>397</v>
      </c>
      <c r="E144" s="223">
        <v>400</v>
      </c>
      <c r="F144" s="223">
        <v>418</v>
      </c>
      <c r="G144" s="223">
        <v>404</v>
      </c>
      <c r="H144" s="223">
        <v>412</v>
      </c>
      <c r="I144" s="223">
        <v>381</v>
      </c>
      <c r="J144" s="223">
        <v>383</v>
      </c>
      <c r="K144" s="223">
        <v>384</v>
      </c>
      <c r="L144" s="223">
        <v>401</v>
      </c>
      <c r="M144" s="223">
        <v>402</v>
      </c>
    </row>
    <row r="145" spans="1:13" s="224" customFormat="1" thickBot="1" x14ac:dyDescent="0.35">
      <c r="A145" s="221">
        <v>12003</v>
      </c>
      <c r="B145" s="222" t="s">
        <v>297</v>
      </c>
      <c r="C145" s="223">
        <v>227</v>
      </c>
      <c r="D145" s="223">
        <v>208</v>
      </c>
      <c r="E145" s="223">
        <v>214</v>
      </c>
      <c r="F145" s="223">
        <v>222</v>
      </c>
      <c r="G145" s="223">
        <v>237</v>
      </c>
      <c r="H145" s="223">
        <v>249</v>
      </c>
      <c r="I145" s="223">
        <v>269</v>
      </c>
      <c r="J145" s="223">
        <v>279</v>
      </c>
      <c r="K145" s="223">
        <v>282</v>
      </c>
      <c r="L145" s="223">
        <v>302</v>
      </c>
      <c r="M145" s="223">
        <v>317</v>
      </c>
    </row>
    <row r="146" spans="1:13" s="224" customFormat="1" thickBot="1" x14ac:dyDescent="0.35">
      <c r="A146" s="221">
        <v>54007</v>
      </c>
      <c r="B146" s="222" t="s">
        <v>298</v>
      </c>
      <c r="C146" s="223">
        <v>207</v>
      </c>
      <c r="D146" s="223">
        <v>211</v>
      </c>
      <c r="E146" s="223">
        <v>197</v>
      </c>
      <c r="F146" s="223">
        <v>200</v>
      </c>
      <c r="G146" s="223">
        <v>222</v>
      </c>
      <c r="H146" s="223">
        <v>223</v>
      </c>
      <c r="I146" s="223">
        <v>227</v>
      </c>
      <c r="J146" s="223">
        <v>218</v>
      </c>
      <c r="K146" s="223">
        <v>214</v>
      </c>
      <c r="L146" s="223">
        <v>208</v>
      </c>
      <c r="M146" s="223">
        <v>217</v>
      </c>
    </row>
    <row r="147" spans="1:13" s="224" customFormat="1" thickBot="1" x14ac:dyDescent="0.35">
      <c r="A147" s="221">
        <v>59002</v>
      </c>
      <c r="B147" s="222" t="s">
        <v>299</v>
      </c>
      <c r="C147" s="223">
        <v>676</v>
      </c>
      <c r="D147" s="223">
        <v>684</v>
      </c>
      <c r="E147" s="223">
        <v>721</v>
      </c>
      <c r="F147" s="223">
        <v>708</v>
      </c>
      <c r="G147" s="223">
        <v>723</v>
      </c>
      <c r="H147" s="223">
        <v>710</v>
      </c>
      <c r="I147" s="223">
        <v>704</v>
      </c>
      <c r="J147" s="223">
        <v>711</v>
      </c>
      <c r="K147" s="223">
        <v>715</v>
      </c>
      <c r="L147" s="223">
        <v>763</v>
      </c>
      <c r="M147" s="223">
        <v>782</v>
      </c>
    </row>
    <row r="148" spans="1:13" s="224" customFormat="1" thickBot="1" x14ac:dyDescent="0.35">
      <c r="A148" s="221">
        <v>2006</v>
      </c>
      <c r="B148" s="222" t="s">
        <v>300</v>
      </c>
      <c r="C148" s="223">
        <v>330</v>
      </c>
      <c r="D148" s="223">
        <v>350</v>
      </c>
      <c r="E148" s="223">
        <v>349</v>
      </c>
      <c r="F148" s="223">
        <v>357</v>
      </c>
      <c r="G148" s="223">
        <v>362</v>
      </c>
      <c r="H148" s="223">
        <v>346</v>
      </c>
      <c r="I148" s="223">
        <v>358</v>
      </c>
      <c r="J148" s="223">
        <v>353</v>
      </c>
      <c r="K148" s="223">
        <v>340</v>
      </c>
      <c r="L148" s="223">
        <v>339</v>
      </c>
      <c r="M148" s="223">
        <v>303</v>
      </c>
    </row>
    <row r="149" spans="1:13" s="224" customFormat="1" thickBot="1" x14ac:dyDescent="0.35">
      <c r="A149" s="221">
        <v>55004</v>
      </c>
      <c r="B149" s="222" t="s">
        <v>301</v>
      </c>
      <c r="C149" s="223">
        <v>222</v>
      </c>
      <c r="D149" s="223">
        <v>212</v>
      </c>
      <c r="E149" s="223">
        <v>204</v>
      </c>
      <c r="F149" s="223">
        <v>218</v>
      </c>
      <c r="G149" s="223">
        <v>233</v>
      </c>
      <c r="H149" s="223">
        <v>245</v>
      </c>
      <c r="I149" s="223">
        <v>243</v>
      </c>
      <c r="J149" s="223">
        <v>251</v>
      </c>
      <c r="K149" s="223">
        <v>258</v>
      </c>
      <c r="L149" s="223">
        <v>256</v>
      </c>
      <c r="M149" s="223">
        <v>249.25</v>
      </c>
    </row>
    <row r="150" spans="1:13" s="224" customFormat="1" thickBot="1" x14ac:dyDescent="0.35">
      <c r="A150" s="221">
        <v>63003</v>
      </c>
      <c r="B150" s="222" t="s">
        <v>302</v>
      </c>
      <c r="C150" s="223">
        <v>2682.41</v>
      </c>
      <c r="D150" s="223">
        <v>2685.36</v>
      </c>
      <c r="E150" s="223">
        <v>2709.67</v>
      </c>
      <c r="F150" s="223">
        <v>2717.19</v>
      </c>
      <c r="G150" s="223">
        <v>2723.12</v>
      </c>
      <c r="H150" s="223">
        <v>2775.69</v>
      </c>
      <c r="I150" s="223">
        <v>2769.5</v>
      </c>
      <c r="J150" s="223">
        <v>2808.99</v>
      </c>
      <c r="K150" s="223">
        <v>2821.06</v>
      </c>
      <c r="L150" s="223">
        <v>2862.43</v>
      </c>
      <c r="M150" s="223">
        <v>2908.87</v>
      </c>
    </row>
    <row r="151" spans="1:13" s="224" customFormat="1" hidden="1" thickBot="1" x14ac:dyDescent="0.35">
      <c r="A151" s="225"/>
      <c r="B151" s="226"/>
      <c r="C151" s="227"/>
      <c r="D151" s="227"/>
      <c r="E151" s="227"/>
      <c r="F151" s="227"/>
      <c r="G151" s="227"/>
      <c r="H151" s="227"/>
      <c r="I151" s="227"/>
      <c r="J151" s="227"/>
      <c r="K151" s="227"/>
      <c r="L151" s="227"/>
      <c r="M151" s="227"/>
    </row>
    <row r="152" spans="1:13" s="224" customFormat="1" hidden="1" thickBot="1" x14ac:dyDescent="0.35">
      <c r="A152" s="228">
        <v>25003</v>
      </c>
      <c r="B152" s="229" t="s">
        <v>303</v>
      </c>
      <c r="C152" s="223">
        <v>108</v>
      </c>
      <c r="D152" s="223">
        <v>83</v>
      </c>
      <c r="E152" s="223">
        <v>69</v>
      </c>
      <c r="F152" s="223">
        <v>61</v>
      </c>
      <c r="G152" s="223"/>
      <c r="H152" s="223"/>
      <c r="I152" s="223"/>
      <c r="J152" s="223"/>
      <c r="K152" s="223"/>
      <c r="L152" s="223"/>
      <c r="M152" s="223"/>
    </row>
    <row r="153" spans="1:13" s="224" customFormat="1" hidden="1" thickBot="1" x14ac:dyDescent="0.35">
      <c r="A153" s="228">
        <v>21002</v>
      </c>
      <c r="B153" s="229" t="s">
        <v>315</v>
      </c>
      <c r="C153" s="223">
        <v>143</v>
      </c>
      <c r="D153" s="223">
        <v>135</v>
      </c>
      <c r="E153" s="223"/>
      <c r="F153" s="223"/>
      <c r="G153" s="223"/>
      <c r="H153" s="223"/>
      <c r="I153" s="223"/>
      <c r="J153" s="223"/>
      <c r="K153" s="223"/>
      <c r="L153" s="223"/>
      <c r="M153" s="223"/>
    </row>
    <row r="154" spans="1:13" s="224" customFormat="1" hidden="1" thickBot="1" x14ac:dyDescent="0.35">
      <c r="A154" s="228">
        <v>1002</v>
      </c>
      <c r="B154" s="229" t="s">
        <v>314</v>
      </c>
      <c r="C154" s="223">
        <v>107</v>
      </c>
      <c r="D154" s="223">
        <v>97</v>
      </c>
      <c r="E154" s="223"/>
      <c r="F154" s="223"/>
      <c r="G154" s="223"/>
      <c r="H154" s="223"/>
      <c r="I154" s="223"/>
      <c r="J154" s="223"/>
      <c r="K154" s="223"/>
      <c r="L154" s="223"/>
      <c r="M154" s="223"/>
    </row>
    <row r="155" spans="1:13" s="224" customFormat="1" hidden="1" thickBot="1" x14ac:dyDescent="0.35">
      <c r="A155" s="233">
        <v>39005</v>
      </c>
      <c r="B155" s="234" t="s">
        <v>258</v>
      </c>
      <c r="C155" s="235">
        <v>124</v>
      </c>
      <c r="D155" s="235">
        <v>133</v>
      </c>
      <c r="E155" s="235">
        <v>153</v>
      </c>
      <c r="F155" s="235">
        <v>158</v>
      </c>
      <c r="G155" s="235">
        <v>153</v>
      </c>
      <c r="H155" s="235">
        <v>170</v>
      </c>
      <c r="I155" s="235">
        <v>164</v>
      </c>
      <c r="J155" s="235">
        <v>154</v>
      </c>
      <c r="K155" s="235">
        <v>145</v>
      </c>
      <c r="L155" s="235">
        <v>146</v>
      </c>
      <c r="M155" s="223"/>
    </row>
    <row r="156" spans="1:13" s="224" customFormat="1" hidden="1" thickBot="1" x14ac:dyDescent="0.35">
      <c r="A156" s="233">
        <v>39004</v>
      </c>
      <c r="B156" s="234" t="s">
        <v>267</v>
      </c>
      <c r="C156" s="235">
        <v>156</v>
      </c>
      <c r="D156" s="235">
        <v>157</v>
      </c>
      <c r="E156" s="235">
        <v>157</v>
      </c>
      <c r="F156" s="235">
        <v>163</v>
      </c>
      <c r="G156" s="235">
        <v>176</v>
      </c>
      <c r="H156" s="235">
        <v>187</v>
      </c>
      <c r="I156" s="235">
        <v>175</v>
      </c>
      <c r="J156" s="235">
        <v>176</v>
      </c>
      <c r="K156" s="235">
        <v>189</v>
      </c>
      <c r="L156" s="235">
        <v>183</v>
      </c>
      <c r="M156" s="223"/>
    </row>
    <row r="157" spans="1:13" s="224" customFormat="1" ht="13.8" x14ac:dyDescent="0.3">
      <c r="A157" s="230"/>
      <c r="B157" s="236" t="s">
        <v>313</v>
      </c>
      <c r="C157" s="237">
        <f>SUM(C3:C156)</f>
        <v>128746.4</v>
      </c>
      <c r="D157" s="237">
        <f t="shared" ref="D157:M157" si="0">SUM(D3:D156)</f>
        <v>130052.48999999999</v>
      </c>
      <c r="E157" s="237">
        <f t="shared" si="0"/>
        <v>131221.81</v>
      </c>
      <c r="F157" s="237">
        <f t="shared" si="0"/>
        <v>132876.04</v>
      </c>
      <c r="G157" s="237">
        <f t="shared" si="0"/>
        <v>134186.33999999997</v>
      </c>
      <c r="H157" s="237">
        <f t="shared" si="0"/>
        <v>135316.77999999997</v>
      </c>
      <c r="I157" s="237">
        <f t="shared" si="0"/>
        <v>136519.16999999998</v>
      </c>
      <c r="J157" s="237">
        <f t="shared" si="0"/>
        <v>136280.89999999997</v>
      </c>
      <c r="K157" s="237">
        <f t="shared" si="0"/>
        <v>137692.39999999994</v>
      </c>
      <c r="L157" s="237">
        <f t="shared" si="0"/>
        <v>138448.65000000002</v>
      </c>
      <c r="M157" s="237">
        <f t="shared" si="0"/>
        <v>138280.86000000004</v>
      </c>
    </row>
    <row r="158" spans="1:13" s="224" customFormat="1" ht="13.8" x14ac:dyDescent="0.3">
      <c r="C158" s="231"/>
      <c r="D158" s="231"/>
      <c r="E158" s="231"/>
      <c r="F158" s="231"/>
      <c r="G158" s="231"/>
      <c r="H158" s="231" t="s">
        <v>151</v>
      </c>
      <c r="I158" s="231"/>
    </row>
    <row r="159" spans="1:13" s="224" customFormat="1" ht="13.8" x14ac:dyDescent="0.3">
      <c r="C159" s="231"/>
      <c r="D159" s="231"/>
      <c r="E159" s="231"/>
      <c r="F159" s="231"/>
      <c r="G159" s="231"/>
      <c r="H159" s="231"/>
      <c r="I159" s="231"/>
    </row>
    <row r="160" spans="1:13" s="224" customFormat="1" ht="13.8" x14ac:dyDescent="0.3">
      <c r="C160" s="231"/>
      <c r="D160" s="231"/>
      <c r="E160" s="231"/>
      <c r="F160" s="231"/>
      <c r="G160" s="231"/>
      <c r="H160" s="231"/>
      <c r="I160" s="231"/>
    </row>
    <row r="161" spans="3:13" s="224" customFormat="1" ht="13.8" x14ac:dyDescent="0.3">
      <c r="C161" s="231"/>
      <c r="D161" s="231"/>
      <c r="E161" s="231"/>
      <c r="F161" s="231"/>
      <c r="G161" s="231"/>
      <c r="H161" s="232"/>
      <c r="I161" s="232"/>
    </row>
    <row r="162" spans="3:13" s="224" customFormat="1" ht="13.8" x14ac:dyDescent="0.3">
      <c r="E162" s="231"/>
      <c r="F162" s="231"/>
      <c r="G162" s="231"/>
      <c r="H162" s="231"/>
      <c r="I162" s="231"/>
      <c r="J162" s="231"/>
      <c r="K162" s="231"/>
    </row>
    <row r="163" spans="3:13" s="224" customFormat="1" ht="13.8" x14ac:dyDescent="0.3"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</row>
  </sheetData>
  <sheetProtection algorithmName="SHA-512" hashValue="/NQmm63i3Uls93BDCjAisqEa/MGIkMtwr51W6bRonGnhBM8qJr6mX4L3za7lr27u2wqKJ/31wc96hpEGq2Dvtw==" saltValue="/cT8iMIjUT5ff0jZxFn1EQ==" spinCount="100000" sheet="1" objects="1" scenarios="1"/>
  <phoneticPr fontId="8" type="noConversion"/>
  <pageMargins left="0.22" right="0.5" top="0.5" bottom="0.55000000000000004" header="0.26" footer="0.18"/>
  <pageSetup scale="61" fitToHeight="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85478-CD85-47E3-8C1A-5F3A5DC66EBB}">
  <sheetPr>
    <pageSetUpPr fitToPage="1"/>
  </sheetPr>
  <dimension ref="A1:M368"/>
  <sheetViews>
    <sheetView workbookViewId="0">
      <pane ySplit="4" topLeftCell="A5" activePane="bottomLeft" state="frozen"/>
      <selection pane="bottomLeft" activeCell="A4" sqref="A4"/>
    </sheetView>
  </sheetViews>
  <sheetFormatPr defaultColWidth="9.109375" defaultRowHeight="14.4" x14ac:dyDescent="0.3"/>
  <cols>
    <col min="1" max="1" width="24.109375" customWidth="1"/>
    <col min="2" max="2" width="6" customWidth="1"/>
    <col min="3" max="3" width="11.44140625" style="268" customWidth="1"/>
    <col min="4" max="4" width="8" style="268" customWidth="1"/>
    <col min="5" max="5" width="13.109375" style="268" customWidth="1"/>
    <col min="6" max="6" width="9" style="268" customWidth="1"/>
    <col min="7" max="7" width="10.44140625" style="268" customWidth="1"/>
    <col min="8" max="8" width="11.44140625" style="268" customWidth="1"/>
    <col min="9" max="9" width="11.44140625" bestFit="1" customWidth="1"/>
    <col min="10" max="10" width="10.6640625" style="268" bestFit="1" customWidth="1"/>
    <col min="11" max="11" width="23.5546875" style="268" bestFit="1" customWidth="1"/>
    <col min="12" max="12" width="13.5546875" bestFit="1" customWidth="1"/>
  </cols>
  <sheetData>
    <row r="1" spans="1:12" ht="18" x14ac:dyDescent="0.35">
      <c r="A1" s="141" t="s">
        <v>475</v>
      </c>
      <c r="C1" s="267"/>
      <c r="D1" s="267"/>
      <c r="E1" s="267"/>
      <c r="F1" s="267"/>
      <c r="G1" s="267"/>
    </row>
    <row r="2" spans="1:12" x14ac:dyDescent="0.3">
      <c r="A2" s="142" t="s">
        <v>476</v>
      </c>
      <c r="C2" s="269"/>
      <c r="D2" s="269"/>
      <c r="E2" s="269"/>
      <c r="F2" s="269"/>
      <c r="G2" s="269"/>
      <c r="H2" s="269"/>
    </row>
    <row r="3" spans="1:12" ht="6.75" customHeight="1" x14ac:dyDescent="0.3">
      <c r="A3" s="6"/>
      <c r="B3" s="6"/>
      <c r="C3" s="267"/>
      <c r="D3" s="267"/>
      <c r="E3" s="267"/>
      <c r="F3" s="267"/>
      <c r="G3" s="267"/>
    </row>
    <row r="4" spans="1:12" s="6" customFormat="1" ht="69" x14ac:dyDescent="0.3">
      <c r="A4" s="270" t="s">
        <v>153</v>
      </c>
      <c r="B4" s="143" t="s">
        <v>152</v>
      </c>
      <c r="C4" s="271" t="s">
        <v>436</v>
      </c>
      <c r="D4" s="271" t="s">
        <v>437</v>
      </c>
      <c r="E4" s="271" t="s">
        <v>438</v>
      </c>
      <c r="F4" s="271" t="s">
        <v>439</v>
      </c>
      <c r="G4" s="271" t="s">
        <v>440</v>
      </c>
      <c r="H4" s="271" t="s">
        <v>441</v>
      </c>
      <c r="I4" s="272" t="s">
        <v>477</v>
      </c>
      <c r="J4" s="272" t="s">
        <v>442</v>
      </c>
      <c r="K4" s="272" t="s">
        <v>443</v>
      </c>
      <c r="L4" s="272" t="s">
        <v>478</v>
      </c>
    </row>
    <row r="5" spans="1:12" s="6" customFormat="1" ht="13.8" x14ac:dyDescent="0.3">
      <c r="A5" s="273" t="s">
        <v>154</v>
      </c>
      <c r="B5" s="274">
        <v>6001</v>
      </c>
      <c r="C5" s="275">
        <v>627251.61</v>
      </c>
      <c r="D5" s="275">
        <v>0</v>
      </c>
      <c r="E5" s="275">
        <v>304768.87</v>
      </c>
      <c r="F5" s="275">
        <v>18898.78</v>
      </c>
      <c r="G5" s="275">
        <v>0</v>
      </c>
      <c r="H5" s="275">
        <v>431000.41</v>
      </c>
      <c r="I5" s="276">
        <f t="shared" ref="I5:I36" si="0">SUM(C5:H5)</f>
        <v>1381919.67</v>
      </c>
      <c r="J5" s="275"/>
      <c r="K5" s="277"/>
      <c r="L5" s="276">
        <f t="shared" ref="L5:L68" si="1">I5-J5</f>
        <v>1381919.67</v>
      </c>
    </row>
    <row r="6" spans="1:12" s="6" customFormat="1" ht="13.8" x14ac:dyDescent="0.3">
      <c r="A6" s="273" t="s">
        <v>155</v>
      </c>
      <c r="B6" s="274">
        <v>58003</v>
      </c>
      <c r="C6" s="275">
        <v>343202.96</v>
      </c>
      <c r="D6" s="275">
        <v>0</v>
      </c>
      <c r="E6" s="275">
        <v>10166.780000000001</v>
      </c>
      <c r="F6" s="275">
        <v>0</v>
      </c>
      <c r="G6" s="275">
        <v>0</v>
      </c>
      <c r="H6" s="275">
        <v>67516.759999999995</v>
      </c>
      <c r="I6" s="276">
        <f t="shared" si="0"/>
        <v>420886.50000000006</v>
      </c>
      <c r="J6" s="275"/>
      <c r="K6" s="277"/>
      <c r="L6" s="276">
        <f t="shared" si="1"/>
        <v>420886.50000000006</v>
      </c>
    </row>
    <row r="7" spans="1:12" s="6" customFormat="1" ht="13.8" x14ac:dyDescent="0.3">
      <c r="A7" s="273" t="s">
        <v>156</v>
      </c>
      <c r="B7" s="274">
        <v>61001</v>
      </c>
      <c r="C7" s="275">
        <v>86700.89</v>
      </c>
      <c r="D7" s="275">
        <v>0</v>
      </c>
      <c r="E7" s="275">
        <v>27221.82</v>
      </c>
      <c r="F7" s="275">
        <v>0</v>
      </c>
      <c r="G7" s="275">
        <v>0</v>
      </c>
      <c r="H7" s="275">
        <v>46177.38</v>
      </c>
      <c r="I7" s="276">
        <f t="shared" si="0"/>
        <v>160100.09</v>
      </c>
      <c r="J7" s="275"/>
      <c r="K7" s="277"/>
      <c r="L7" s="276">
        <f t="shared" si="1"/>
        <v>160100.09</v>
      </c>
    </row>
    <row r="8" spans="1:12" s="6" customFormat="1" ht="13.8" x14ac:dyDescent="0.3">
      <c r="A8" s="273" t="s">
        <v>157</v>
      </c>
      <c r="B8" s="274">
        <v>11001</v>
      </c>
      <c r="C8" s="275">
        <v>109544</v>
      </c>
      <c r="D8" s="275">
        <v>0</v>
      </c>
      <c r="E8" s="275">
        <v>17207.45</v>
      </c>
      <c r="F8" s="275">
        <v>2833.32</v>
      </c>
      <c r="G8" s="275">
        <v>0</v>
      </c>
      <c r="H8" s="275">
        <v>32878</v>
      </c>
      <c r="I8" s="276">
        <f t="shared" si="0"/>
        <v>162462.77000000002</v>
      </c>
      <c r="J8" s="275"/>
      <c r="K8" s="277"/>
      <c r="L8" s="276">
        <f t="shared" si="1"/>
        <v>162462.77000000002</v>
      </c>
    </row>
    <row r="9" spans="1:12" s="6" customFormat="1" ht="13.8" x14ac:dyDescent="0.3">
      <c r="A9" s="273" t="s">
        <v>158</v>
      </c>
      <c r="B9" s="274">
        <v>38001</v>
      </c>
      <c r="C9" s="275">
        <v>58302.86</v>
      </c>
      <c r="D9" s="275">
        <v>0</v>
      </c>
      <c r="E9" s="275">
        <v>11789.38</v>
      </c>
      <c r="F9" s="275">
        <v>3504</v>
      </c>
      <c r="G9" s="275">
        <v>0</v>
      </c>
      <c r="H9" s="275">
        <v>60587.39</v>
      </c>
      <c r="I9" s="276">
        <f t="shared" si="0"/>
        <v>134183.63</v>
      </c>
      <c r="J9" s="275"/>
      <c r="K9" s="277"/>
      <c r="L9" s="276">
        <f t="shared" si="1"/>
        <v>134183.63</v>
      </c>
    </row>
    <row r="10" spans="1:12" s="6" customFormat="1" ht="13.8" x14ac:dyDescent="0.3">
      <c r="A10" s="273" t="s">
        <v>159</v>
      </c>
      <c r="B10" s="274">
        <v>21001</v>
      </c>
      <c r="C10" s="275">
        <v>65725.3</v>
      </c>
      <c r="D10" s="275">
        <v>0</v>
      </c>
      <c r="E10" s="275">
        <v>8217.76</v>
      </c>
      <c r="F10" s="275">
        <v>408.81</v>
      </c>
      <c r="G10" s="275">
        <v>0</v>
      </c>
      <c r="H10" s="275">
        <v>14522.66</v>
      </c>
      <c r="I10" s="276">
        <f t="shared" si="0"/>
        <v>88874.53</v>
      </c>
      <c r="J10" s="275"/>
      <c r="K10" s="277"/>
      <c r="L10" s="276">
        <f t="shared" si="1"/>
        <v>88874.53</v>
      </c>
    </row>
    <row r="11" spans="1:12" s="6" customFormat="1" ht="13.8" x14ac:dyDescent="0.3">
      <c r="A11" s="273" t="s">
        <v>160</v>
      </c>
      <c r="B11" s="274">
        <v>4001</v>
      </c>
      <c r="C11" s="275">
        <v>50496.77</v>
      </c>
      <c r="D11" s="275">
        <v>507.08</v>
      </c>
      <c r="E11" s="275">
        <v>7078.56</v>
      </c>
      <c r="F11" s="275">
        <v>0</v>
      </c>
      <c r="G11" s="275">
        <v>168132.99</v>
      </c>
      <c r="H11" s="275">
        <v>14198.76</v>
      </c>
      <c r="I11" s="276">
        <f t="shared" si="0"/>
        <v>240414.16</v>
      </c>
      <c r="J11" s="275">
        <v>168132.99</v>
      </c>
      <c r="K11" s="278" t="s">
        <v>479</v>
      </c>
      <c r="L11" s="276">
        <f t="shared" si="1"/>
        <v>72281.170000000013</v>
      </c>
    </row>
    <row r="12" spans="1:12" s="6" customFormat="1" ht="13.8" x14ac:dyDescent="0.3">
      <c r="A12" s="273" t="s">
        <v>161</v>
      </c>
      <c r="B12" s="274">
        <v>49001</v>
      </c>
      <c r="C12" s="275">
        <v>50483.34</v>
      </c>
      <c r="D12" s="275">
        <v>0</v>
      </c>
      <c r="E12" s="275">
        <v>13007.54</v>
      </c>
      <c r="F12" s="275">
        <v>0</v>
      </c>
      <c r="G12" s="275">
        <v>0</v>
      </c>
      <c r="H12" s="275">
        <v>106608.98</v>
      </c>
      <c r="I12" s="276">
        <f t="shared" si="0"/>
        <v>170099.86</v>
      </c>
      <c r="J12" s="275"/>
      <c r="K12" s="277"/>
      <c r="L12" s="276">
        <f t="shared" si="1"/>
        <v>170099.86</v>
      </c>
    </row>
    <row r="13" spans="1:12" s="6" customFormat="1" ht="13.8" x14ac:dyDescent="0.3">
      <c r="A13" s="273" t="s">
        <v>162</v>
      </c>
      <c r="B13" s="274">
        <v>9001</v>
      </c>
      <c r="C13" s="275">
        <v>63814</v>
      </c>
      <c r="D13" s="275">
        <v>0</v>
      </c>
      <c r="E13" s="275">
        <v>105920.99</v>
      </c>
      <c r="F13" s="275">
        <v>0</v>
      </c>
      <c r="G13" s="275">
        <v>0</v>
      </c>
      <c r="H13" s="275">
        <v>89387.13</v>
      </c>
      <c r="I13" s="276">
        <f t="shared" si="0"/>
        <v>259122.12</v>
      </c>
      <c r="J13" s="275"/>
      <c r="K13" s="277"/>
      <c r="L13" s="276">
        <f t="shared" si="1"/>
        <v>259122.12</v>
      </c>
    </row>
    <row r="14" spans="1:12" s="6" customFormat="1" ht="13.8" x14ac:dyDescent="0.3">
      <c r="A14" s="273" t="s">
        <v>163</v>
      </c>
      <c r="B14" s="274">
        <v>3001</v>
      </c>
      <c r="C14" s="275">
        <v>174978</v>
      </c>
      <c r="D14" s="275">
        <v>0</v>
      </c>
      <c r="E14" s="275">
        <v>24064.2</v>
      </c>
      <c r="F14" s="275">
        <v>5369.97</v>
      </c>
      <c r="G14" s="275">
        <v>0</v>
      </c>
      <c r="H14" s="275">
        <v>22850.79</v>
      </c>
      <c r="I14" s="276">
        <f t="shared" si="0"/>
        <v>227262.96000000002</v>
      </c>
      <c r="J14" s="275"/>
      <c r="K14" s="277"/>
      <c r="L14" s="276">
        <f t="shared" si="1"/>
        <v>227262.96000000002</v>
      </c>
    </row>
    <row r="15" spans="1:12" s="6" customFormat="1" ht="13.8" x14ac:dyDescent="0.3">
      <c r="A15" s="273" t="s">
        <v>164</v>
      </c>
      <c r="B15" s="274">
        <v>61002</v>
      </c>
      <c r="C15" s="275">
        <v>86796.26</v>
      </c>
      <c r="D15" s="275">
        <v>0</v>
      </c>
      <c r="E15" s="275">
        <v>47152.71</v>
      </c>
      <c r="F15" s="275">
        <v>0</v>
      </c>
      <c r="G15" s="275">
        <v>0</v>
      </c>
      <c r="H15" s="275">
        <v>76232.22</v>
      </c>
      <c r="I15" s="276">
        <f t="shared" si="0"/>
        <v>210181.19</v>
      </c>
      <c r="J15" s="275"/>
      <c r="K15" s="277"/>
      <c r="L15" s="276">
        <f t="shared" si="1"/>
        <v>210181.19</v>
      </c>
    </row>
    <row r="16" spans="1:12" s="6" customFormat="1" ht="13.8" x14ac:dyDescent="0.3">
      <c r="A16" s="273" t="s">
        <v>165</v>
      </c>
      <c r="B16" s="274">
        <v>25001</v>
      </c>
      <c r="C16" s="275">
        <v>17477.310000000001</v>
      </c>
      <c r="D16" s="275">
        <v>0</v>
      </c>
      <c r="E16" s="275">
        <v>3452.03</v>
      </c>
      <c r="F16" s="275">
        <v>0</v>
      </c>
      <c r="G16" s="275">
        <v>0</v>
      </c>
      <c r="H16" s="275">
        <v>10811.2</v>
      </c>
      <c r="I16" s="276">
        <f t="shared" si="0"/>
        <v>31740.54</v>
      </c>
      <c r="J16" s="275"/>
      <c r="K16" s="277"/>
      <c r="L16" s="276">
        <f t="shared" si="1"/>
        <v>31740.54</v>
      </c>
    </row>
    <row r="17" spans="1:12" s="6" customFormat="1" ht="13.8" x14ac:dyDescent="0.3">
      <c r="A17" s="273" t="s">
        <v>166</v>
      </c>
      <c r="B17" s="274">
        <v>52001</v>
      </c>
      <c r="C17" s="275">
        <v>97402.03</v>
      </c>
      <c r="D17" s="275">
        <v>0</v>
      </c>
      <c r="E17" s="275">
        <v>8744.75</v>
      </c>
      <c r="F17" s="275">
        <v>1802.74</v>
      </c>
      <c r="G17" s="275">
        <v>0</v>
      </c>
      <c r="H17" s="275">
        <v>19484.71</v>
      </c>
      <c r="I17" s="276">
        <f t="shared" si="0"/>
        <v>127434.23000000001</v>
      </c>
      <c r="J17" s="275"/>
      <c r="K17" s="277"/>
      <c r="L17" s="276">
        <f t="shared" si="1"/>
        <v>127434.23000000001</v>
      </c>
    </row>
    <row r="18" spans="1:12" s="6" customFormat="1" ht="13.8" x14ac:dyDescent="0.3">
      <c r="A18" s="273" t="s">
        <v>167</v>
      </c>
      <c r="B18" s="274">
        <v>4002</v>
      </c>
      <c r="C18" s="275">
        <v>162108.82</v>
      </c>
      <c r="D18" s="275">
        <v>1147.72</v>
      </c>
      <c r="E18" s="275">
        <v>17426.09</v>
      </c>
      <c r="F18" s="275">
        <v>0</v>
      </c>
      <c r="G18" s="275">
        <v>0</v>
      </c>
      <c r="H18" s="275">
        <v>27815.19</v>
      </c>
      <c r="I18" s="276">
        <f t="shared" si="0"/>
        <v>208497.82</v>
      </c>
      <c r="J18" s="275"/>
      <c r="K18" s="277"/>
      <c r="L18" s="276">
        <f t="shared" si="1"/>
        <v>208497.82</v>
      </c>
    </row>
    <row r="19" spans="1:12" s="6" customFormat="1" ht="13.8" x14ac:dyDescent="0.3">
      <c r="A19" s="273" t="s">
        <v>168</v>
      </c>
      <c r="B19" s="274">
        <v>22001</v>
      </c>
      <c r="C19" s="275">
        <v>47057.04</v>
      </c>
      <c r="D19" s="275">
        <v>0</v>
      </c>
      <c r="E19" s="275">
        <v>7826.28</v>
      </c>
      <c r="F19" s="275">
        <v>0</v>
      </c>
      <c r="G19" s="275">
        <v>0</v>
      </c>
      <c r="H19" s="275">
        <v>13167.9</v>
      </c>
      <c r="I19" s="276">
        <f t="shared" si="0"/>
        <v>68051.22</v>
      </c>
      <c r="J19" s="275"/>
      <c r="K19" s="277"/>
      <c r="L19" s="276">
        <f t="shared" si="1"/>
        <v>68051.22</v>
      </c>
    </row>
    <row r="20" spans="1:12" s="6" customFormat="1" ht="13.8" x14ac:dyDescent="0.3">
      <c r="A20" s="273" t="s">
        <v>169</v>
      </c>
      <c r="B20" s="274">
        <v>49002</v>
      </c>
      <c r="C20" s="275">
        <v>731572.01</v>
      </c>
      <c r="D20" s="275">
        <v>0</v>
      </c>
      <c r="E20" s="275">
        <v>132470.41</v>
      </c>
      <c r="F20" s="275">
        <v>0</v>
      </c>
      <c r="G20" s="275">
        <v>0</v>
      </c>
      <c r="H20" s="275">
        <v>1058180.6599999999</v>
      </c>
      <c r="I20" s="276">
        <f t="shared" si="0"/>
        <v>1922223.08</v>
      </c>
      <c r="J20" s="275"/>
      <c r="K20" s="277"/>
      <c r="L20" s="276">
        <f t="shared" si="1"/>
        <v>1922223.08</v>
      </c>
    </row>
    <row r="21" spans="1:12" s="6" customFormat="1" ht="13.8" x14ac:dyDescent="0.3">
      <c r="A21" s="273" t="s">
        <v>170</v>
      </c>
      <c r="B21" s="274">
        <v>30003</v>
      </c>
      <c r="C21" s="275">
        <v>72166.759999999995</v>
      </c>
      <c r="D21" s="275">
        <v>0</v>
      </c>
      <c r="E21" s="275">
        <v>32193.83</v>
      </c>
      <c r="F21" s="275">
        <v>158.82</v>
      </c>
      <c r="G21" s="275">
        <v>0</v>
      </c>
      <c r="H21" s="275">
        <v>26731.02</v>
      </c>
      <c r="I21" s="276">
        <f t="shared" si="0"/>
        <v>131250.43</v>
      </c>
      <c r="J21" s="275"/>
      <c r="K21" s="277"/>
      <c r="L21" s="276">
        <f t="shared" si="1"/>
        <v>131250.43</v>
      </c>
    </row>
    <row r="22" spans="1:12" s="6" customFormat="1" ht="13.8" x14ac:dyDescent="0.3">
      <c r="A22" s="273" t="s">
        <v>171</v>
      </c>
      <c r="B22" s="274">
        <v>45004</v>
      </c>
      <c r="C22" s="275">
        <v>251951.44</v>
      </c>
      <c r="D22" s="275">
        <v>0</v>
      </c>
      <c r="E22" s="275">
        <v>19160.34</v>
      </c>
      <c r="F22" s="275">
        <v>0</v>
      </c>
      <c r="G22" s="275">
        <v>0</v>
      </c>
      <c r="H22" s="275">
        <v>29434.48</v>
      </c>
      <c r="I22" s="276">
        <f t="shared" si="0"/>
        <v>300546.26</v>
      </c>
      <c r="J22" s="275"/>
      <c r="K22" s="277"/>
      <c r="L22" s="276">
        <f t="shared" si="1"/>
        <v>300546.26</v>
      </c>
    </row>
    <row r="23" spans="1:12" s="6" customFormat="1" ht="13.8" x14ac:dyDescent="0.3">
      <c r="A23" s="273" t="s">
        <v>172</v>
      </c>
      <c r="B23" s="274">
        <v>5001</v>
      </c>
      <c r="C23" s="275">
        <v>506005.05</v>
      </c>
      <c r="D23" s="275">
        <v>0</v>
      </c>
      <c r="E23" s="275">
        <v>243362.94</v>
      </c>
      <c r="F23" s="275">
        <v>0</v>
      </c>
      <c r="G23" s="275">
        <v>0</v>
      </c>
      <c r="H23" s="275">
        <v>517585.3</v>
      </c>
      <c r="I23" s="276">
        <f t="shared" si="0"/>
        <v>1266953.29</v>
      </c>
      <c r="J23" s="275"/>
      <c r="K23" s="277"/>
      <c r="L23" s="276">
        <f t="shared" si="1"/>
        <v>1266953.29</v>
      </c>
    </row>
    <row r="24" spans="1:12" s="6" customFormat="1" ht="13.8" x14ac:dyDescent="0.3">
      <c r="A24" s="273" t="s">
        <v>173</v>
      </c>
      <c r="B24" s="274">
        <v>26002</v>
      </c>
      <c r="C24" s="275">
        <v>62159.06</v>
      </c>
      <c r="D24" s="275">
        <v>0</v>
      </c>
      <c r="E24" s="275">
        <v>9431.14</v>
      </c>
      <c r="F24" s="275">
        <v>6194.78</v>
      </c>
      <c r="G24" s="275">
        <v>0</v>
      </c>
      <c r="H24" s="275">
        <v>29842.31</v>
      </c>
      <c r="I24" s="276">
        <f t="shared" si="0"/>
        <v>107627.29</v>
      </c>
      <c r="J24" s="275"/>
      <c r="K24" s="277"/>
      <c r="L24" s="276">
        <f t="shared" si="1"/>
        <v>107627.29</v>
      </c>
    </row>
    <row r="25" spans="1:12" s="6" customFormat="1" ht="13.8" x14ac:dyDescent="0.3">
      <c r="A25" s="273" t="s">
        <v>174</v>
      </c>
      <c r="B25" s="274">
        <v>43001</v>
      </c>
      <c r="C25" s="275">
        <v>61521.96</v>
      </c>
      <c r="D25" s="275">
        <v>0</v>
      </c>
      <c r="E25" s="275">
        <v>14643.4</v>
      </c>
      <c r="F25" s="275">
        <v>0</v>
      </c>
      <c r="G25" s="275">
        <v>0</v>
      </c>
      <c r="H25" s="275">
        <v>14068.61</v>
      </c>
      <c r="I25" s="276">
        <f t="shared" si="0"/>
        <v>90233.97</v>
      </c>
      <c r="J25" s="275"/>
      <c r="K25" s="277"/>
      <c r="L25" s="276">
        <f t="shared" si="1"/>
        <v>90233.97</v>
      </c>
    </row>
    <row r="26" spans="1:12" s="6" customFormat="1" ht="13.8" x14ac:dyDescent="0.3">
      <c r="A26" s="273" t="s">
        <v>175</v>
      </c>
      <c r="B26" s="274">
        <v>41001</v>
      </c>
      <c r="C26" s="275">
        <v>209534.99</v>
      </c>
      <c r="D26" s="275">
        <v>0</v>
      </c>
      <c r="E26" s="275">
        <v>24027.98</v>
      </c>
      <c r="F26" s="275">
        <v>0</v>
      </c>
      <c r="G26" s="275">
        <v>0</v>
      </c>
      <c r="H26" s="275">
        <v>111824.77</v>
      </c>
      <c r="I26" s="276">
        <f t="shared" si="0"/>
        <v>345387.74</v>
      </c>
      <c r="J26" s="275"/>
      <c r="K26" s="277"/>
      <c r="L26" s="276">
        <f t="shared" si="1"/>
        <v>345387.74</v>
      </c>
    </row>
    <row r="27" spans="1:12" s="6" customFormat="1" ht="13.8" x14ac:dyDescent="0.3">
      <c r="A27" s="273" t="s">
        <v>176</v>
      </c>
      <c r="B27" s="274">
        <v>28001</v>
      </c>
      <c r="C27" s="275">
        <v>92424.73</v>
      </c>
      <c r="D27" s="275">
        <v>0</v>
      </c>
      <c r="E27" s="275">
        <v>11776.35</v>
      </c>
      <c r="F27" s="275">
        <v>226.68</v>
      </c>
      <c r="G27" s="275">
        <v>0</v>
      </c>
      <c r="H27" s="275">
        <v>18955.060000000001</v>
      </c>
      <c r="I27" s="276">
        <f t="shared" si="0"/>
        <v>123382.81999999999</v>
      </c>
      <c r="J27" s="275"/>
      <c r="K27" s="277"/>
      <c r="L27" s="276">
        <f t="shared" si="1"/>
        <v>123382.81999999999</v>
      </c>
    </row>
    <row r="28" spans="1:12" s="6" customFormat="1" ht="13.8" x14ac:dyDescent="0.3">
      <c r="A28" s="273" t="s">
        <v>177</v>
      </c>
      <c r="B28" s="274">
        <v>60001</v>
      </c>
      <c r="C28" s="275">
        <v>61135.199999999997</v>
      </c>
      <c r="D28" s="275">
        <v>0</v>
      </c>
      <c r="E28" s="275">
        <v>16156.34</v>
      </c>
      <c r="F28" s="275">
        <v>0</v>
      </c>
      <c r="G28" s="275">
        <v>0</v>
      </c>
      <c r="H28" s="275">
        <v>17212.89</v>
      </c>
      <c r="I28" s="276">
        <f t="shared" si="0"/>
        <v>94504.43</v>
      </c>
      <c r="J28" s="275"/>
      <c r="K28" s="277"/>
      <c r="L28" s="276">
        <f t="shared" si="1"/>
        <v>94504.43</v>
      </c>
    </row>
    <row r="29" spans="1:12" s="6" customFormat="1" ht="13.8" x14ac:dyDescent="0.3">
      <c r="A29" s="273" t="s">
        <v>178</v>
      </c>
      <c r="B29" s="274">
        <v>7001</v>
      </c>
      <c r="C29" s="275">
        <v>323617.33</v>
      </c>
      <c r="D29" s="275">
        <v>0</v>
      </c>
      <c r="E29" s="275">
        <v>64267.48</v>
      </c>
      <c r="F29" s="275">
        <v>0</v>
      </c>
      <c r="G29" s="275">
        <v>0</v>
      </c>
      <c r="H29" s="275">
        <v>52485.21</v>
      </c>
      <c r="I29" s="276">
        <f t="shared" si="0"/>
        <v>440370.02</v>
      </c>
      <c r="J29" s="275"/>
      <c r="K29" s="277"/>
      <c r="L29" s="276">
        <f t="shared" si="1"/>
        <v>440370.02</v>
      </c>
    </row>
    <row r="30" spans="1:12" s="6" customFormat="1" ht="13.8" x14ac:dyDescent="0.3">
      <c r="A30" s="273" t="s">
        <v>179</v>
      </c>
      <c r="B30" s="274">
        <v>39001</v>
      </c>
      <c r="C30" s="275">
        <v>255440.59</v>
      </c>
      <c r="D30" s="275">
        <v>0</v>
      </c>
      <c r="E30" s="275">
        <v>17696.13</v>
      </c>
      <c r="F30" s="275">
        <v>0</v>
      </c>
      <c r="G30" s="275">
        <v>0</v>
      </c>
      <c r="H30" s="275">
        <v>39259.120000000003</v>
      </c>
      <c r="I30" s="276">
        <f t="shared" si="0"/>
        <v>312395.83999999997</v>
      </c>
      <c r="J30" s="275"/>
      <c r="K30" s="277"/>
      <c r="L30" s="276">
        <f t="shared" si="1"/>
        <v>312395.83999999997</v>
      </c>
    </row>
    <row r="31" spans="1:12" s="6" customFormat="1" ht="13.8" x14ac:dyDescent="0.3">
      <c r="A31" s="273" t="s">
        <v>180</v>
      </c>
      <c r="B31" s="274">
        <v>12002</v>
      </c>
      <c r="C31" s="275">
        <v>243181.74</v>
      </c>
      <c r="D31" s="275">
        <v>0</v>
      </c>
      <c r="E31" s="275">
        <v>29239.67</v>
      </c>
      <c r="F31" s="275">
        <v>0</v>
      </c>
      <c r="G31" s="275">
        <v>387032.39</v>
      </c>
      <c r="H31" s="275">
        <v>30023.200000000001</v>
      </c>
      <c r="I31" s="276">
        <f t="shared" si="0"/>
        <v>689477</v>
      </c>
      <c r="J31" s="275">
        <v>352645.6</v>
      </c>
      <c r="K31" s="278" t="s">
        <v>480</v>
      </c>
      <c r="L31" s="276">
        <f t="shared" si="1"/>
        <v>336831.4</v>
      </c>
    </row>
    <row r="32" spans="1:12" s="6" customFormat="1" ht="13.8" x14ac:dyDescent="0.3">
      <c r="A32" s="273" t="s">
        <v>181</v>
      </c>
      <c r="B32" s="274">
        <v>50005</v>
      </c>
      <c r="C32" s="275">
        <v>67997.460000000006</v>
      </c>
      <c r="D32" s="275">
        <v>0</v>
      </c>
      <c r="E32" s="275">
        <v>42167.05</v>
      </c>
      <c r="F32" s="275">
        <v>0</v>
      </c>
      <c r="G32" s="275">
        <v>0</v>
      </c>
      <c r="H32" s="275">
        <v>12334.48</v>
      </c>
      <c r="I32" s="276">
        <f t="shared" si="0"/>
        <v>122498.99</v>
      </c>
      <c r="J32" s="275"/>
      <c r="K32" s="277"/>
      <c r="L32" s="276">
        <f t="shared" si="1"/>
        <v>122498.99</v>
      </c>
    </row>
    <row r="33" spans="1:12" s="6" customFormat="1" ht="13.8" x14ac:dyDescent="0.3">
      <c r="A33" s="273" t="s">
        <v>182</v>
      </c>
      <c r="B33" s="274">
        <v>59003</v>
      </c>
      <c r="C33" s="275">
        <v>60490.93</v>
      </c>
      <c r="D33" s="275">
        <v>0</v>
      </c>
      <c r="E33" s="275">
        <v>12013.96</v>
      </c>
      <c r="F33" s="275">
        <v>0</v>
      </c>
      <c r="G33" s="275">
        <v>0</v>
      </c>
      <c r="H33" s="275">
        <v>26410.32</v>
      </c>
      <c r="I33" s="276">
        <f t="shared" si="0"/>
        <v>98915.209999999992</v>
      </c>
      <c r="J33" s="275"/>
      <c r="K33" s="277"/>
      <c r="L33" s="276">
        <f t="shared" si="1"/>
        <v>98915.209999999992</v>
      </c>
    </row>
    <row r="34" spans="1:12" s="6" customFormat="1" ht="13.8" x14ac:dyDescent="0.3">
      <c r="A34" s="273" t="s">
        <v>183</v>
      </c>
      <c r="B34" s="274">
        <v>21003</v>
      </c>
      <c r="C34" s="275">
        <v>120190.32</v>
      </c>
      <c r="D34" s="275">
        <v>0</v>
      </c>
      <c r="E34" s="275">
        <v>20292.150000000001</v>
      </c>
      <c r="F34" s="275">
        <v>0</v>
      </c>
      <c r="G34" s="275">
        <v>0</v>
      </c>
      <c r="H34" s="275">
        <v>33777.21</v>
      </c>
      <c r="I34" s="276">
        <f t="shared" si="0"/>
        <v>174259.68</v>
      </c>
      <c r="J34" s="275"/>
      <c r="K34" s="277"/>
      <c r="L34" s="276">
        <f t="shared" si="1"/>
        <v>174259.68</v>
      </c>
    </row>
    <row r="35" spans="1:12" s="6" customFormat="1" ht="13.8" x14ac:dyDescent="0.3">
      <c r="A35" s="273" t="s">
        <v>184</v>
      </c>
      <c r="B35" s="274">
        <v>16001</v>
      </c>
      <c r="C35" s="275">
        <v>341252.06</v>
      </c>
      <c r="D35" s="275">
        <v>0</v>
      </c>
      <c r="E35" s="275">
        <v>41559.5</v>
      </c>
      <c r="F35" s="275">
        <v>0</v>
      </c>
      <c r="G35" s="275">
        <v>0</v>
      </c>
      <c r="H35" s="275">
        <v>46610.63</v>
      </c>
      <c r="I35" s="276">
        <f t="shared" si="0"/>
        <v>429422.19</v>
      </c>
      <c r="J35" s="275"/>
      <c r="K35" s="277"/>
      <c r="L35" s="276">
        <f t="shared" si="1"/>
        <v>429422.19</v>
      </c>
    </row>
    <row r="36" spans="1:12" s="6" customFormat="1" ht="13.8" x14ac:dyDescent="0.3">
      <c r="A36" s="273" t="s">
        <v>185</v>
      </c>
      <c r="B36" s="274">
        <v>61008</v>
      </c>
      <c r="C36" s="275">
        <v>67886.06</v>
      </c>
      <c r="D36" s="275">
        <v>0</v>
      </c>
      <c r="E36" s="275">
        <v>117100.64</v>
      </c>
      <c r="F36" s="275">
        <v>0</v>
      </c>
      <c r="G36" s="275">
        <v>0</v>
      </c>
      <c r="H36" s="275">
        <v>158103.1</v>
      </c>
      <c r="I36" s="276">
        <f t="shared" si="0"/>
        <v>343089.80000000005</v>
      </c>
      <c r="J36" s="275"/>
      <c r="K36" s="277"/>
      <c r="L36" s="276">
        <f t="shared" si="1"/>
        <v>343089.80000000005</v>
      </c>
    </row>
    <row r="37" spans="1:12" s="6" customFormat="1" ht="13.8" x14ac:dyDescent="0.3">
      <c r="A37" s="273" t="s">
        <v>186</v>
      </c>
      <c r="B37" s="274">
        <v>38002</v>
      </c>
      <c r="C37" s="275">
        <v>48558.2</v>
      </c>
      <c r="D37" s="275">
        <v>0</v>
      </c>
      <c r="E37" s="275">
        <v>11294.83</v>
      </c>
      <c r="F37" s="275">
        <v>13694.38</v>
      </c>
      <c r="G37" s="275">
        <v>0</v>
      </c>
      <c r="H37" s="275">
        <v>39998.53</v>
      </c>
      <c r="I37" s="276">
        <f t="shared" ref="I37:I100" si="2">SUM(C37:H37)</f>
        <v>113545.94</v>
      </c>
      <c r="J37" s="275"/>
      <c r="K37" s="277"/>
      <c r="L37" s="276">
        <f t="shared" si="1"/>
        <v>113545.94</v>
      </c>
    </row>
    <row r="38" spans="1:12" s="6" customFormat="1" ht="13.8" x14ac:dyDescent="0.3">
      <c r="A38" s="273" t="s">
        <v>187</v>
      </c>
      <c r="B38" s="274">
        <v>49003</v>
      </c>
      <c r="C38" s="275">
        <v>228474.4</v>
      </c>
      <c r="D38" s="275">
        <v>0</v>
      </c>
      <c r="E38" s="275">
        <v>32104.43</v>
      </c>
      <c r="F38" s="275">
        <v>0</v>
      </c>
      <c r="G38" s="275">
        <v>0</v>
      </c>
      <c r="H38" s="275">
        <v>237416.34</v>
      </c>
      <c r="I38" s="276">
        <f t="shared" si="2"/>
        <v>497995.17</v>
      </c>
      <c r="J38" s="275"/>
      <c r="K38" s="277"/>
      <c r="L38" s="276">
        <f t="shared" si="1"/>
        <v>497995.17</v>
      </c>
    </row>
    <row r="39" spans="1:12" s="6" customFormat="1" ht="27.6" x14ac:dyDescent="0.3">
      <c r="A39" s="273" t="s">
        <v>188</v>
      </c>
      <c r="B39" s="274">
        <v>5006</v>
      </c>
      <c r="C39" s="275">
        <v>131641.82999999999</v>
      </c>
      <c r="D39" s="275">
        <v>0</v>
      </c>
      <c r="E39" s="275">
        <v>21592.37</v>
      </c>
      <c r="F39" s="275">
        <v>0</v>
      </c>
      <c r="G39" s="275">
        <v>666651.64</v>
      </c>
      <c r="H39" s="275">
        <v>69838.990000000005</v>
      </c>
      <c r="I39" s="276">
        <f t="shared" si="2"/>
        <v>889724.83</v>
      </c>
      <c r="J39" s="275">
        <v>267379.90999999997</v>
      </c>
      <c r="K39" s="279" t="s">
        <v>481</v>
      </c>
      <c r="L39" s="276">
        <f t="shared" si="1"/>
        <v>622344.91999999993</v>
      </c>
    </row>
    <row r="40" spans="1:12" s="6" customFormat="1" ht="41.4" x14ac:dyDescent="0.3">
      <c r="A40" s="273" t="s">
        <v>189</v>
      </c>
      <c r="B40" s="274">
        <v>19004</v>
      </c>
      <c r="C40" s="275">
        <v>283164.59000000003</v>
      </c>
      <c r="D40" s="275">
        <v>0</v>
      </c>
      <c r="E40" s="275">
        <v>24033.23</v>
      </c>
      <c r="F40" s="275">
        <v>4060.05</v>
      </c>
      <c r="G40" s="275">
        <v>712899.83</v>
      </c>
      <c r="H40" s="275">
        <v>35166.54</v>
      </c>
      <c r="I40" s="276">
        <f t="shared" si="2"/>
        <v>1059324.24</v>
      </c>
      <c r="J40" s="275">
        <v>712899.83000000007</v>
      </c>
      <c r="K40" s="279" t="s">
        <v>482</v>
      </c>
      <c r="L40" s="276">
        <f t="shared" si="1"/>
        <v>346424.40999999992</v>
      </c>
    </row>
    <row r="41" spans="1:12" s="6" customFormat="1" ht="13.8" x14ac:dyDescent="0.3">
      <c r="A41" s="273" t="s">
        <v>190</v>
      </c>
      <c r="B41" s="274">
        <v>56002</v>
      </c>
      <c r="C41" s="275">
        <v>76978.91</v>
      </c>
      <c r="D41" s="275">
        <v>0</v>
      </c>
      <c r="E41" s="275">
        <v>7440.1</v>
      </c>
      <c r="F41" s="275">
        <v>0</v>
      </c>
      <c r="G41" s="275">
        <v>0</v>
      </c>
      <c r="H41" s="275">
        <v>17787.87</v>
      </c>
      <c r="I41" s="276">
        <f t="shared" si="2"/>
        <v>102206.88</v>
      </c>
      <c r="J41" s="275"/>
      <c r="K41" s="277"/>
      <c r="L41" s="276">
        <f t="shared" si="1"/>
        <v>102206.88</v>
      </c>
    </row>
    <row r="42" spans="1:12" s="6" customFormat="1" ht="13.8" x14ac:dyDescent="0.3">
      <c r="A42" s="273" t="s">
        <v>191</v>
      </c>
      <c r="B42" s="274">
        <v>51001</v>
      </c>
      <c r="C42" s="275">
        <v>160498.32999999999</v>
      </c>
      <c r="D42" s="275">
        <v>0</v>
      </c>
      <c r="E42" s="275">
        <v>166529.26999999999</v>
      </c>
      <c r="F42" s="275">
        <v>0</v>
      </c>
      <c r="G42" s="275">
        <v>0</v>
      </c>
      <c r="H42" s="275">
        <v>82301.600000000006</v>
      </c>
      <c r="I42" s="276">
        <f t="shared" si="2"/>
        <v>409329.19999999995</v>
      </c>
      <c r="J42" s="275"/>
      <c r="K42" s="277"/>
      <c r="L42" s="276">
        <f t="shared" si="1"/>
        <v>409329.19999999995</v>
      </c>
    </row>
    <row r="43" spans="1:12" s="6" customFormat="1" ht="13.8" x14ac:dyDescent="0.3">
      <c r="A43" s="273" t="s">
        <v>192</v>
      </c>
      <c r="B43" s="274">
        <v>64002</v>
      </c>
      <c r="C43" s="275">
        <v>31164.74</v>
      </c>
      <c r="D43" s="275">
        <v>0</v>
      </c>
      <c r="E43" s="275">
        <v>1345.51</v>
      </c>
      <c r="F43" s="275">
        <v>0</v>
      </c>
      <c r="G43" s="275">
        <v>0</v>
      </c>
      <c r="H43" s="275">
        <v>66891.37</v>
      </c>
      <c r="I43" s="276">
        <f t="shared" si="2"/>
        <v>99401.62</v>
      </c>
      <c r="J43" s="275"/>
      <c r="K43" s="277"/>
      <c r="L43" s="276">
        <f t="shared" si="1"/>
        <v>99401.62</v>
      </c>
    </row>
    <row r="44" spans="1:12" s="6" customFormat="1" ht="13.8" x14ac:dyDescent="0.3">
      <c r="A44" s="273" t="s">
        <v>193</v>
      </c>
      <c r="B44" s="274">
        <v>20001</v>
      </c>
      <c r="C44" s="275">
        <v>94279.38</v>
      </c>
      <c r="D44" s="275">
        <v>0</v>
      </c>
      <c r="E44" s="275">
        <v>8269.2900000000009</v>
      </c>
      <c r="F44" s="275">
        <v>0</v>
      </c>
      <c r="G44" s="275">
        <v>0</v>
      </c>
      <c r="H44" s="275">
        <v>21146.92</v>
      </c>
      <c r="I44" s="276">
        <f t="shared" si="2"/>
        <v>123695.59000000001</v>
      </c>
      <c r="J44" s="275"/>
      <c r="K44" s="277"/>
      <c r="L44" s="276">
        <f t="shared" si="1"/>
        <v>123695.59000000001</v>
      </c>
    </row>
    <row r="45" spans="1:12" s="6" customFormat="1" ht="13.8" x14ac:dyDescent="0.3">
      <c r="A45" s="273" t="s">
        <v>194</v>
      </c>
      <c r="B45" s="274">
        <v>23001</v>
      </c>
      <c r="C45" s="275">
        <v>40777.29</v>
      </c>
      <c r="D45" s="275">
        <v>0</v>
      </c>
      <c r="E45" s="275">
        <v>14659.03</v>
      </c>
      <c r="F45" s="275">
        <v>1487.09</v>
      </c>
      <c r="G45" s="275">
        <v>0</v>
      </c>
      <c r="H45" s="275">
        <v>7493.57</v>
      </c>
      <c r="I45" s="276">
        <f t="shared" si="2"/>
        <v>64416.979999999996</v>
      </c>
      <c r="J45" s="275"/>
      <c r="K45" s="277"/>
      <c r="L45" s="276">
        <f t="shared" si="1"/>
        <v>64416.979999999996</v>
      </c>
    </row>
    <row r="46" spans="1:12" s="6" customFormat="1" ht="13.8" x14ac:dyDescent="0.3">
      <c r="A46" s="273" t="s">
        <v>195</v>
      </c>
      <c r="B46" s="274">
        <v>22005</v>
      </c>
      <c r="C46" s="275">
        <v>49898.01</v>
      </c>
      <c r="D46" s="275">
        <v>0</v>
      </c>
      <c r="E46" s="275">
        <v>12487.4</v>
      </c>
      <c r="F46" s="275">
        <v>1938.34</v>
      </c>
      <c r="G46" s="275">
        <v>0</v>
      </c>
      <c r="H46" s="275">
        <v>20117.95</v>
      </c>
      <c r="I46" s="276">
        <f t="shared" si="2"/>
        <v>84441.7</v>
      </c>
      <c r="J46" s="275"/>
      <c r="K46" s="277"/>
      <c r="L46" s="276">
        <f t="shared" si="1"/>
        <v>84441.7</v>
      </c>
    </row>
    <row r="47" spans="1:12" s="6" customFormat="1" ht="13.8" x14ac:dyDescent="0.3">
      <c r="A47" s="273" t="s">
        <v>196</v>
      </c>
      <c r="B47" s="274">
        <v>16002</v>
      </c>
      <c r="C47" s="275">
        <v>5045.8599999999997</v>
      </c>
      <c r="D47" s="275">
        <v>0</v>
      </c>
      <c r="E47" s="275">
        <v>672.55</v>
      </c>
      <c r="F47" s="275">
        <v>0</v>
      </c>
      <c r="G47" s="275">
        <v>0</v>
      </c>
      <c r="H47" s="275">
        <v>0</v>
      </c>
      <c r="I47" s="276">
        <f t="shared" si="2"/>
        <v>5718.41</v>
      </c>
      <c r="J47" s="275"/>
      <c r="K47" s="277"/>
      <c r="L47" s="276">
        <f t="shared" si="1"/>
        <v>5718.41</v>
      </c>
    </row>
    <row r="48" spans="1:12" s="6" customFormat="1" ht="13.8" x14ac:dyDescent="0.3">
      <c r="A48" s="273" t="s">
        <v>197</v>
      </c>
      <c r="B48" s="274">
        <v>61007</v>
      </c>
      <c r="C48" s="275">
        <v>116092.95</v>
      </c>
      <c r="D48" s="275">
        <v>0</v>
      </c>
      <c r="E48" s="275">
        <v>67087.759999999995</v>
      </c>
      <c r="F48" s="275">
        <v>0</v>
      </c>
      <c r="G48" s="275">
        <v>0</v>
      </c>
      <c r="H48" s="275">
        <v>52318.1</v>
      </c>
      <c r="I48" s="276">
        <f t="shared" si="2"/>
        <v>235498.81</v>
      </c>
      <c r="J48" s="275"/>
      <c r="K48" s="277"/>
      <c r="L48" s="276">
        <f t="shared" si="1"/>
        <v>235498.81</v>
      </c>
    </row>
    <row r="49" spans="1:12" s="6" customFormat="1" ht="13.8" x14ac:dyDescent="0.3">
      <c r="A49" s="273" t="s">
        <v>198</v>
      </c>
      <c r="B49" s="274">
        <v>5003</v>
      </c>
      <c r="C49" s="275">
        <v>114385.62</v>
      </c>
      <c r="D49" s="275">
        <v>0</v>
      </c>
      <c r="E49" s="275">
        <v>23978.240000000002</v>
      </c>
      <c r="F49" s="275">
        <v>0</v>
      </c>
      <c r="G49" s="275">
        <v>108003.46</v>
      </c>
      <c r="H49" s="275">
        <v>93838.88</v>
      </c>
      <c r="I49" s="276">
        <f t="shared" si="2"/>
        <v>340206.2</v>
      </c>
      <c r="J49" s="275"/>
      <c r="K49" s="277"/>
      <c r="L49" s="276">
        <f t="shared" si="1"/>
        <v>340206.2</v>
      </c>
    </row>
    <row r="50" spans="1:12" s="6" customFormat="1" ht="13.8" x14ac:dyDescent="0.3">
      <c r="A50" s="273" t="s">
        <v>199</v>
      </c>
      <c r="B50" s="274">
        <v>28002</v>
      </c>
      <c r="C50" s="275">
        <v>112818.33</v>
      </c>
      <c r="D50" s="275">
        <v>0</v>
      </c>
      <c r="E50" s="275">
        <v>11309.68</v>
      </c>
      <c r="F50" s="275">
        <v>117.95</v>
      </c>
      <c r="G50" s="275">
        <v>46974.5</v>
      </c>
      <c r="H50" s="275">
        <v>34846.21</v>
      </c>
      <c r="I50" s="276">
        <f t="shared" si="2"/>
        <v>206066.67</v>
      </c>
      <c r="J50" s="275">
        <v>46974.5</v>
      </c>
      <c r="K50" s="277" t="s">
        <v>483</v>
      </c>
      <c r="L50" s="276">
        <f t="shared" si="1"/>
        <v>159092.17000000001</v>
      </c>
    </row>
    <row r="51" spans="1:12" s="6" customFormat="1" ht="13.8" x14ac:dyDescent="0.3">
      <c r="A51" s="273" t="s">
        <v>200</v>
      </c>
      <c r="B51" s="274">
        <v>17001</v>
      </c>
      <c r="C51" s="275">
        <v>28043.32</v>
      </c>
      <c r="D51" s="275">
        <v>0</v>
      </c>
      <c r="E51" s="275">
        <v>14525.48</v>
      </c>
      <c r="F51" s="275">
        <v>0</v>
      </c>
      <c r="G51" s="275">
        <v>0</v>
      </c>
      <c r="H51" s="275">
        <v>11155.6</v>
      </c>
      <c r="I51" s="276">
        <f t="shared" si="2"/>
        <v>53724.4</v>
      </c>
      <c r="J51" s="275"/>
      <c r="K51" s="277"/>
      <c r="L51" s="276">
        <f t="shared" si="1"/>
        <v>53724.4</v>
      </c>
    </row>
    <row r="52" spans="1:12" s="6" customFormat="1" ht="13.8" x14ac:dyDescent="0.3">
      <c r="A52" s="273" t="s">
        <v>201</v>
      </c>
      <c r="B52" s="274">
        <v>44001</v>
      </c>
      <c r="C52" s="275">
        <v>36529.800000000003</v>
      </c>
      <c r="D52" s="275">
        <v>0</v>
      </c>
      <c r="E52" s="275">
        <v>4637.04</v>
      </c>
      <c r="F52" s="275">
        <v>989.16</v>
      </c>
      <c r="G52" s="275">
        <v>0</v>
      </c>
      <c r="H52" s="275">
        <v>23673.51</v>
      </c>
      <c r="I52" s="276">
        <f t="shared" si="2"/>
        <v>65829.510000000009</v>
      </c>
      <c r="J52" s="275"/>
      <c r="K52" s="277"/>
      <c r="L52" s="276">
        <f t="shared" si="1"/>
        <v>65829.510000000009</v>
      </c>
    </row>
    <row r="53" spans="1:12" s="6" customFormat="1" ht="13.8" x14ac:dyDescent="0.3">
      <c r="A53" s="273" t="s">
        <v>202</v>
      </c>
      <c r="B53" s="274">
        <v>46002</v>
      </c>
      <c r="C53" s="275">
        <v>25910.560000000001</v>
      </c>
      <c r="D53" s="275">
        <v>0</v>
      </c>
      <c r="E53" s="275">
        <v>16716.18</v>
      </c>
      <c r="F53" s="275">
        <v>0</v>
      </c>
      <c r="G53" s="275">
        <v>0</v>
      </c>
      <c r="H53" s="275">
        <v>18208.16</v>
      </c>
      <c r="I53" s="276">
        <f t="shared" si="2"/>
        <v>60834.900000000009</v>
      </c>
      <c r="J53" s="275"/>
      <c r="K53" s="277"/>
      <c r="L53" s="276">
        <f t="shared" si="1"/>
        <v>60834.900000000009</v>
      </c>
    </row>
    <row r="54" spans="1:12" s="6" customFormat="1" ht="13.8" x14ac:dyDescent="0.3">
      <c r="A54" s="273" t="s">
        <v>307</v>
      </c>
      <c r="B54" s="274">
        <v>24004</v>
      </c>
      <c r="C54" s="275">
        <v>117002.18</v>
      </c>
      <c r="D54" s="275">
        <v>0</v>
      </c>
      <c r="E54" s="275">
        <v>19270.939999999999</v>
      </c>
      <c r="F54" s="275">
        <v>0</v>
      </c>
      <c r="G54" s="275">
        <v>0</v>
      </c>
      <c r="H54" s="275">
        <v>28413.06</v>
      </c>
      <c r="I54" s="276">
        <f t="shared" si="2"/>
        <v>164686.18</v>
      </c>
      <c r="J54" s="275"/>
      <c r="K54" s="277"/>
      <c r="L54" s="276">
        <f t="shared" si="1"/>
        <v>164686.18</v>
      </c>
    </row>
    <row r="55" spans="1:12" s="6" customFormat="1" ht="13.8" x14ac:dyDescent="0.3">
      <c r="A55" s="273" t="s">
        <v>204</v>
      </c>
      <c r="B55" s="274">
        <v>50003</v>
      </c>
      <c r="C55" s="275">
        <v>86550.91</v>
      </c>
      <c r="D55" s="275">
        <v>0</v>
      </c>
      <c r="E55" s="275">
        <v>112225.87</v>
      </c>
      <c r="F55" s="275">
        <v>0</v>
      </c>
      <c r="G55" s="275">
        <v>0</v>
      </c>
      <c r="H55" s="275">
        <v>23483.97</v>
      </c>
      <c r="I55" s="276">
        <f t="shared" si="2"/>
        <v>222260.75</v>
      </c>
      <c r="J55" s="275"/>
      <c r="K55" s="277"/>
      <c r="L55" s="276">
        <f t="shared" si="1"/>
        <v>222260.75</v>
      </c>
    </row>
    <row r="56" spans="1:12" s="6" customFormat="1" ht="13.8" x14ac:dyDescent="0.3">
      <c r="A56" s="273" t="s">
        <v>205</v>
      </c>
      <c r="B56" s="274">
        <v>14001</v>
      </c>
      <c r="C56" s="275">
        <v>42133.02</v>
      </c>
      <c r="D56" s="275">
        <v>0</v>
      </c>
      <c r="E56" s="275">
        <v>12454.28</v>
      </c>
      <c r="F56" s="275">
        <v>0</v>
      </c>
      <c r="G56" s="275">
        <v>0</v>
      </c>
      <c r="H56" s="275">
        <v>23575.32</v>
      </c>
      <c r="I56" s="276">
        <f t="shared" si="2"/>
        <v>78162.62</v>
      </c>
      <c r="J56" s="275"/>
      <c r="K56" s="277"/>
      <c r="L56" s="276">
        <f t="shared" si="1"/>
        <v>78162.62</v>
      </c>
    </row>
    <row r="57" spans="1:12" s="6" customFormat="1" ht="13.8" x14ac:dyDescent="0.3">
      <c r="A57" s="273" t="s">
        <v>206</v>
      </c>
      <c r="B57" s="274">
        <v>6002</v>
      </c>
      <c r="C57" s="275">
        <v>62792.51</v>
      </c>
      <c r="D57" s="275">
        <v>0</v>
      </c>
      <c r="E57" s="275">
        <v>7097.06</v>
      </c>
      <c r="F57" s="275">
        <v>0</v>
      </c>
      <c r="G57" s="275">
        <v>0</v>
      </c>
      <c r="H57" s="275">
        <v>33183.82</v>
      </c>
      <c r="I57" s="276">
        <f t="shared" si="2"/>
        <v>103073.39000000001</v>
      </c>
      <c r="J57" s="275"/>
      <c r="K57" s="277"/>
      <c r="L57" s="276">
        <f t="shared" si="1"/>
        <v>103073.39000000001</v>
      </c>
    </row>
    <row r="58" spans="1:12" s="6" customFormat="1" ht="13.8" x14ac:dyDescent="0.3">
      <c r="A58" s="273" t="s">
        <v>207</v>
      </c>
      <c r="B58" s="274">
        <v>33001</v>
      </c>
      <c r="C58" s="275">
        <v>139999.81</v>
      </c>
      <c r="D58" s="275">
        <v>0</v>
      </c>
      <c r="E58" s="275">
        <v>12884.89</v>
      </c>
      <c r="F58" s="275">
        <v>0</v>
      </c>
      <c r="G58" s="275">
        <v>0</v>
      </c>
      <c r="H58" s="275">
        <v>57846.03</v>
      </c>
      <c r="I58" s="276">
        <f t="shared" si="2"/>
        <v>210730.73</v>
      </c>
      <c r="J58" s="275"/>
      <c r="K58" s="277"/>
      <c r="L58" s="276">
        <f t="shared" si="1"/>
        <v>210730.73</v>
      </c>
    </row>
    <row r="59" spans="1:12" s="6" customFormat="1" ht="13.8" x14ac:dyDescent="0.3">
      <c r="A59" s="273" t="s">
        <v>208</v>
      </c>
      <c r="B59" s="274">
        <v>49004</v>
      </c>
      <c r="C59" s="275">
        <v>127265.81</v>
      </c>
      <c r="D59" s="275">
        <v>0</v>
      </c>
      <c r="E59" s="275">
        <v>13360.68</v>
      </c>
      <c r="F59" s="275">
        <v>0</v>
      </c>
      <c r="G59" s="275">
        <v>0</v>
      </c>
      <c r="H59" s="275">
        <v>117517.99</v>
      </c>
      <c r="I59" s="276">
        <f t="shared" si="2"/>
        <v>258144.47999999998</v>
      </c>
      <c r="J59" s="275"/>
      <c r="K59" s="277"/>
      <c r="L59" s="276">
        <f t="shared" si="1"/>
        <v>258144.47999999998</v>
      </c>
    </row>
    <row r="60" spans="1:12" s="6" customFormat="1" ht="13.8" x14ac:dyDescent="0.3">
      <c r="A60" s="273" t="s">
        <v>209</v>
      </c>
      <c r="B60" s="274">
        <v>63001</v>
      </c>
      <c r="C60" s="275">
        <v>36839.58</v>
      </c>
      <c r="D60" s="275">
        <v>0</v>
      </c>
      <c r="E60" s="275">
        <v>16714.240000000002</v>
      </c>
      <c r="F60" s="275">
        <v>0</v>
      </c>
      <c r="G60" s="275">
        <v>0</v>
      </c>
      <c r="H60" s="275">
        <v>30547.09</v>
      </c>
      <c r="I60" s="276">
        <f t="shared" si="2"/>
        <v>84100.91</v>
      </c>
      <c r="J60" s="275"/>
      <c r="K60" s="277"/>
      <c r="L60" s="276">
        <f t="shared" si="1"/>
        <v>84100.91</v>
      </c>
    </row>
    <row r="61" spans="1:12" s="6" customFormat="1" ht="13.8" x14ac:dyDescent="0.3">
      <c r="A61" s="273" t="s">
        <v>210</v>
      </c>
      <c r="B61" s="274">
        <v>53001</v>
      </c>
      <c r="C61" s="275">
        <v>79805.84</v>
      </c>
      <c r="D61" s="275">
        <v>0</v>
      </c>
      <c r="E61" s="275">
        <v>24421.75</v>
      </c>
      <c r="F61" s="275">
        <v>0</v>
      </c>
      <c r="G61" s="275">
        <v>0</v>
      </c>
      <c r="H61" s="275">
        <v>33548.57</v>
      </c>
      <c r="I61" s="276">
        <f t="shared" si="2"/>
        <v>137776.16</v>
      </c>
      <c r="J61" s="275"/>
      <c r="K61" s="277"/>
      <c r="L61" s="276">
        <f t="shared" si="1"/>
        <v>137776.16</v>
      </c>
    </row>
    <row r="62" spans="1:12" s="6" customFormat="1" ht="13.8" x14ac:dyDescent="0.3">
      <c r="A62" s="273" t="s">
        <v>211</v>
      </c>
      <c r="B62" s="274">
        <v>26004</v>
      </c>
      <c r="C62" s="275">
        <v>137456.43</v>
      </c>
      <c r="D62" s="275">
        <v>0</v>
      </c>
      <c r="E62" s="275">
        <v>15102.62</v>
      </c>
      <c r="F62" s="275">
        <v>0</v>
      </c>
      <c r="G62" s="275">
        <v>0</v>
      </c>
      <c r="H62" s="275">
        <v>48906.98</v>
      </c>
      <c r="I62" s="276">
        <f t="shared" si="2"/>
        <v>201466.03</v>
      </c>
      <c r="J62" s="275"/>
      <c r="K62" s="277"/>
      <c r="L62" s="276">
        <f t="shared" si="1"/>
        <v>201466.03</v>
      </c>
    </row>
    <row r="63" spans="1:12" s="6" customFormat="1" ht="13.8" x14ac:dyDescent="0.3">
      <c r="A63" s="273" t="s">
        <v>212</v>
      </c>
      <c r="B63" s="274">
        <v>6006</v>
      </c>
      <c r="C63" s="275">
        <v>726022.36</v>
      </c>
      <c r="D63" s="275">
        <v>0</v>
      </c>
      <c r="E63" s="275">
        <v>36890.36</v>
      </c>
      <c r="F63" s="275">
        <v>0</v>
      </c>
      <c r="G63" s="275">
        <v>177371.64</v>
      </c>
      <c r="H63" s="275">
        <v>78469.31</v>
      </c>
      <c r="I63" s="276">
        <f t="shared" si="2"/>
        <v>1018753.6699999999</v>
      </c>
      <c r="J63" s="275"/>
      <c r="K63" s="277"/>
      <c r="L63" s="276">
        <f t="shared" si="1"/>
        <v>1018753.6699999999</v>
      </c>
    </row>
    <row r="64" spans="1:12" s="6" customFormat="1" ht="13.8" x14ac:dyDescent="0.3">
      <c r="A64" s="273" t="s">
        <v>213</v>
      </c>
      <c r="B64" s="274">
        <v>27001</v>
      </c>
      <c r="C64" s="275">
        <v>118590</v>
      </c>
      <c r="D64" s="275">
        <v>0</v>
      </c>
      <c r="E64" s="275">
        <v>14715.18</v>
      </c>
      <c r="F64" s="275">
        <v>0</v>
      </c>
      <c r="G64" s="275">
        <v>0</v>
      </c>
      <c r="H64" s="275">
        <v>111045.04</v>
      </c>
      <c r="I64" s="276">
        <f t="shared" si="2"/>
        <v>244350.21999999997</v>
      </c>
      <c r="J64" s="275"/>
      <c r="K64" s="277"/>
      <c r="L64" s="276">
        <f t="shared" si="1"/>
        <v>244350.21999999997</v>
      </c>
    </row>
    <row r="65" spans="1:12" s="6" customFormat="1" ht="13.8" x14ac:dyDescent="0.3">
      <c r="A65" s="273" t="s">
        <v>214</v>
      </c>
      <c r="B65" s="274">
        <v>28003</v>
      </c>
      <c r="C65" s="275">
        <v>240281.05</v>
      </c>
      <c r="D65" s="275">
        <v>0</v>
      </c>
      <c r="E65" s="275">
        <v>36394.99</v>
      </c>
      <c r="F65" s="275">
        <v>1556.15</v>
      </c>
      <c r="G65" s="275">
        <v>0</v>
      </c>
      <c r="H65" s="275">
        <v>63508.23</v>
      </c>
      <c r="I65" s="276">
        <f t="shared" si="2"/>
        <v>341740.42</v>
      </c>
      <c r="J65" s="275"/>
      <c r="K65" s="277"/>
      <c r="L65" s="276">
        <f t="shared" si="1"/>
        <v>341740.42</v>
      </c>
    </row>
    <row r="66" spans="1:12" s="6" customFormat="1" ht="13.8" x14ac:dyDescent="0.3">
      <c r="A66" s="273" t="s">
        <v>215</v>
      </c>
      <c r="B66" s="274">
        <v>30001</v>
      </c>
      <c r="C66" s="275">
        <v>96492.15</v>
      </c>
      <c r="D66" s="275">
        <v>0</v>
      </c>
      <c r="E66" s="275">
        <v>43941.71</v>
      </c>
      <c r="F66" s="275">
        <v>2112.7399999999998</v>
      </c>
      <c r="G66" s="275">
        <v>0</v>
      </c>
      <c r="H66" s="275">
        <v>17347.77</v>
      </c>
      <c r="I66" s="276">
        <f t="shared" si="2"/>
        <v>159894.36999999997</v>
      </c>
      <c r="J66" s="275"/>
      <c r="K66" s="277"/>
      <c r="L66" s="276">
        <f t="shared" si="1"/>
        <v>159894.36999999997</v>
      </c>
    </row>
    <row r="67" spans="1:12" s="6" customFormat="1" ht="13.8" x14ac:dyDescent="0.3">
      <c r="A67" s="273" t="s">
        <v>216</v>
      </c>
      <c r="B67" s="274">
        <v>31001</v>
      </c>
      <c r="C67" s="275">
        <v>175561.39</v>
      </c>
      <c r="D67" s="275">
        <v>0</v>
      </c>
      <c r="E67" s="275">
        <v>10370</v>
      </c>
      <c r="F67" s="275">
        <v>0</v>
      </c>
      <c r="G67" s="275">
        <v>0</v>
      </c>
      <c r="H67" s="275">
        <v>20556.86</v>
      </c>
      <c r="I67" s="276">
        <f t="shared" si="2"/>
        <v>206488.25</v>
      </c>
      <c r="J67" s="275"/>
      <c r="K67" s="277"/>
      <c r="L67" s="276">
        <f t="shared" si="1"/>
        <v>206488.25</v>
      </c>
    </row>
    <row r="68" spans="1:12" s="6" customFormat="1" ht="13.8" x14ac:dyDescent="0.3">
      <c r="A68" s="273" t="s">
        <v>217</v>
      </c>
      <c r="B68" s="274">
        <v>41002</v>
      </c>
      <c r="C68" s="275">
        <v>301161.36</v>
      </c>
      <c r="D68" s="275">
        <v>0</v>
      </c>
      <c r="E68" s="275">
        <v>151576.01999999999</v>
      </c>
      <c r="F68" s="275">
        <v>0</v>
      </c>
      <c r="G68" s="275">
        <v>0</v>
      </c>
      <c r="H68" s="275">
        <v>847339.76</v>
      </c>
      <c r="I68" s="276">
        <f t="shared" si="2"/>
        <v>1300077.1400000001</v>
      </c>
      <c r="J68" s="275"/>
      <c r="K68" s="277"/>
      <c r="L68" s="276">
        <f t="shared" si="1"/>
        <v>1300077.1400000001</v>
      </c>
    </row>
    <row r="69" spans="1:12" s="6" customFormat="1" ht="13.8" x14ac:dyDescent="0.3">
      <c r="A69" s="273" t="s">
        <v>218</v>
      </c>
      <c r="B69" s="274">
        <v>14002</v>
      </c>
      <c r="C69" s="275">
        <v>23411.06</v>
      </c>
      <c r="D69" s="275">
        <v>0</v>
      </c>
      <c r="E69" s="275">
        <v>10128.25</v>
      </c>
      <c r="F69" s="275">
        <v>0</v>
      </c>
      <c r="G69" s="275">
        <v>0</v>
      </c>
      <c r="H69" s="275">
        <v>21533.51</v>
      </c>
      <c r="I69" s="276">
        <f t="shared" si="2"/>
        <v>55072.819999999992</v>
      </c>
      <c r="J69" s="275"/>
      <c r="K69" s="277"/>
      <c r="L69" s="276">
        <f t="shared" ref="L69:L132" si="3">I69-J69</f>
        <v>55072.819999999992</v>
      </c>
    </row>
    <row r="70" spans="1:12" s="6" customFormat="1" ht="13.8" x14ac:dyDescent="0.3">
      <c r="A70" s="273" t="s">
        <v>219</v>
      </c>
      <c r="B70" s="274">
        <v>10001</v>
      </c>
      <c r="C70" s="275">
        <v>21141.74</v>
      </c>
      <c r="D70" s="275">
        <v>0</v>
      </c>
      <c r="E70" s="275">
        <v>11428</v>
      </c>
      <c r="F70" s="275">
        <v>0</v>
      </c>
      <c r="G70" s="275">
        <v>0</v>
      </c>
      <c r="H70" s="275">
        <v>18696.419999999998</v>
      </c>
      <c r="I70" s="276">
        <f t="shared" si="2"/>
        <v>51266.16</v>
      </c>
      <c r="J70" s="275"/>
      <c r="K70" s="277"/>
      <c r="L70" s="276">
        <f t="shared" si="3"/>
        <v>51266.16</v>
      </c>
    </row>
    <row r="71" spans="1:12" s="6" customFormat="1" ht="13.8" x14ac:dyDescent="0.3">
      <c r="A71" s="273" t="s">
        <v>220</v>
      </c>
      <c r="B71" s="274">
        <v>34002</v>
      </c>
      <c r="C71" s="275">
        <v>136427.93</v>
      </c>
      <c r="D71" s="275">
        <v>0</v>
      </c>
      <c r="E71" s="275">
        <v>7513.41</v>
      </c>
      <c r="F71" s="275">
        <v>2.85</v>
      </c>
      <c r="G71" s="275">
        <v>420888</v>
      </c>
      <c r="H71" s="275">
        <v>56505.16</v>
      </c>
      <c r="I71" s="276">
        <f t="shared" si="2"/>
        <v>621337.35</v>
      </c>
      <c r="J71" s="275">
        <v>420888</v>
      </c>
      <c r="K71" s="277" t="s">
        <v>484</v>
      </c>
      <c r="L71" s="276">
        <f t="shared" si="3"/>
        <v>200449.34999999998</v>
      </c>
    </row>
    <row r="72" spans="1:12" s="6" customFormat="1" ht="13.8" x14ac:dyDescent="0.3">
      <c r="A72" s="273" t="s">
        <v>221</v>
      </c>
      <c r="B72" s="274">
        <v>51002</v>
      </c>
      <c r="C72" s="275">
        <v>75717.17</v>
      </c>
      <c r="D72" s="275">
        <v>0</v>
      </c>
      <c r="E72" s="275">
        <v>15216.15</v>
      </c>
      <c r="F72" s="275">
        <v>1999.59</v>
      </c>
      <c r="G72" s="275">
        <v>0</v>
      </c>
      <c r="H72" s="275">
        <v>81148.56</v>
      </c>
      <c r="I72" s="276">
        <f t="shared" si="2"/>
        <v>174081.46999999997</v>
      </c>
      <c r="J72" s="275"/>
      <c r="K72" s="277"/>
      <c r="L72" s="276">
        <f t="shared" si="3"/>
        <v>174081.46999999997</v>
      </c>
    </row>
    <row r="73" spans="1:12" s="6" customFormat="1" ht="13.8" x14ac:dyDescent="0.3">
      <c r="A73" s="273" t="s">
        <v>222</v>
      </c>
      <c r="B73" s="274">
        <v>56006</v>
      </c>
      <c r="C73" s="275">
        <v>103012.45</v>
      </c>
      <c r="D73" s="275">
        <v>0</v>
      </c>
      <c r="E73" s="275">
        <v>11610.57</v>
      </c>
      <c r="F73" s="275">
        <v>0</v>
      </c>
      <c r="G73" s="275">
        <v>0</v>
      </c>
      <c r="H73" s="275">
        <v>18310.55</v>
      </c>
      <c r="I73" s="276">
        <f t="shared" si="2"/>
        <v>132933.56999999998</v>
      </c>
      <c r="J73" s="275"/>
      <c r="K73" s="277"/>
      <c r="L73" s="276">
        <f t="shared" si="3"/>
        <v>132933.56999999998</v>
      </c>
    </row>
    <row r="74" spans="1:12" s="6" customFormat="1" ht="13.8" x14ac:dyDescent="0.3">
      <c r="A74" s="273" t="s">
        <v>223</v>
      </c>
      <c r="B74" s="274">
        <v>23002</v>
      </c>
      <c r="C74" s="275">
        <v>252736.13</v>
      </c>
      <c r="D74" s="275">
        <v>0</v>
      </c>
      <c r="E74" s="275">
        <v>72682.48</v>
      </c>
      <c r="F74" s="275">
        <v>14767.65</v>
      </c>
      <c r="G74" s="275">
        <v>0</v>
      </c>
      <c r="H74" s="275">
        <v>21793.08</v>
      </c>
      <c r="I74" s="276">
        <f t="shared" si="2"/>
        <v>361979.34</v>
      </c>
      <c r="J74" s="275"/>
      <c r="K74" s="277"/>
      <c r="L74" s="276">
        <f t="shared" si="3"/>
        <v>361979.34</v>
      </c>
    </row>
    <row r="75" spans="1:12" s="6" customFormat="1" ht="13.8" x14ac:dyDescent="0.3">
      <c r="A75" s="273" t="s">
        <v>224</v>
      </c>
      <c r="B75" s="274">
        <v>53002</v>
      </c>
      <c r="C75" s="275">
        <v>67428.14</v>
      </c>
      <c r="D75" s="275">
        <v>0</v>
      </c>
      <c r="E75" s="275">
        <v>16465.810000000001</v>
      </c>
      <c r="F75" s="275">
        <v>991.95</v>
      </c>
      <c r="G75" s="275">
        <v>0</v>
      </c>
      <c r="H75" s="275">
        <v>36833.410000000003</v>
      </c>
      <c r="I75" s="276">
        <f t="shared" si="2"/>
        <v>121719.31</v>
      </c>
      <c r="J75" s="275"/>
      <c r="K75" s="277"/>
      <c r="L75" s="276">
        <f t="shared" si="3"/>
        <v>121719.31</v>
      </c>
    </row>
    <row r="76" spans="1:12" s="6" customFormat="1" ht="13.8" x14ac:dyDescent="0.3">
      <c r="A76" s="273" t="s">
        <v>225</v>
      </c>
      <c r="B76" s="274">
        <v>48003</v>
      </c>
      <c r="C76" s="275">
        <v>413692.79</v>
      </c>
      <c r="D76" s="275">
        <v>1787.19</v>
      </c>
      <c r="E76" s="275">
        <v>15231.64</v>
      </c>
      <c r="F76" s="275">
        <v>2137.81</v>
      </c>
      <c r="G76" s="275">
        <v>0</v>
      </c>
      <c r="H76" s="275">
        <v>25722.78</v>
      </c>
      <c r="I76" s="276">
        <f t="shared" si="2"/>
        <v>458572.20999999996</v>
      </c>
      <c r="J76" s="275"/>
      <c r="K76" s="277"/>
      <c r="L76" s="276">
        <f t="shared" si="3"/>
        <v>458572.20999999996</v>
      </c>
    </row>
    <row r="77" spans="1:12" s="6" customFormat="1" ht="13.8" x14ac:dyDescent="0.3">
      <c r="A77" s="273" t="s">
        <v>226</v>
      </c>
      <c r="B77" s="274">
        <v>2002</v>
      </c>
      <c r="C77" s="275">
        <v>345434.62</v>
      </c>
      <c r="D77" s="275">
        <v>8264.23</v>
      </c>
      <c r="E77" s="275">
        <v>208334.98</v>
      </c>
      <c r="F77" s="275">
        <v>11.89</v>
      </c>
      <c r="G77" s="275">
        <v>0</v>
      </c>
      <c r="H77" s="275">
        <v>193244.89</v>
      </c>
      <c r="I77" s="276">
        <f t="shared" si="2"/>
        <v>755290.61</v>
      </c>
      <c r="J77" s="275"/>
      <c r="K77" s="277"/>
      <c r="L77" s="276">
        <f t="shared" si="3"/>
        <v>755290.61</v>
      </c>
    </row>
    <row r="78" spans="1:12" s="6" customFormat="1" ht="13.8" x14ac:dyDescent="0.3">
      <c r="A78" s="273" t="s">
        <v>227</v>
      </c>
      <c r="B78" s="274">
        <v>22006</v>
      </c>
      <c r="C78" s="275">
        <v>374337.05</v>
      </c>
      <c r="D78" s="275">
        <v>0</v>
      </c>
      <c r="E78" s="275">
        <v>27409.14</v>
      </c>
      <c r="F78" s="275">
        <v>0</v>
      </c>
      <c r="G78" s="275">
        <v>0</v>
      </c>
      <c r="H78" s="275">
        <v>32465.55</v>
      </c>
      <c r="I78" s="276">
        <f t="shared" si="2"/>
        <v>434211.74</v>
      </c>
      <c r="J78" s="275"/>
      <c r="K78" s="277"/>
      <c r="L78" s="276">
        <f t="shared" si="3"/>
        <v>434211.74</v>
      </c>
    </row>
    <row r="79" spans="1:12" s="6" customFormat="1" ht="13.8" x14ac:dyDescent="0.3">
      <c r="A79" s="273" t="s">
        <v>228</v>
      </c>
      <c r="B79" s="274">
        <v>13003</v>
      </c>
      <c r="C79" s="275">
        <v>89597.17</v>
      </c>
      <c r="D79" s="275">
        <v>0</v>
      </c>
      <c r="E79" s="275">
        <v>26733.87</v>
      </c>
      <c r="F79" s="275">
        <v>0</v>
      </c>
      <c r="G79" s="275">
        <v>0</v>
      </c>
      <c r="H79" s="275">
        <v>50294.080000000002</v>
      </c>
      <c r="I79" s="276">
        <f t="shared" si="2"/>
        <v>166625.12</v>
      </c>
      <c r="J79" s="275"/>
      <c r="K79" s="277"/>
      <c r="L79" s="276">
        <f t="shared" si="3"/>
        <v>166625.12</v>
      </c>
    </row>
    <row r="80" spans="1:12" s="6" customFormat="1" ht="13.8" x14ac:dyDescent="0.3">
      <c r="A80" s="273" t="s">
        <v>229</v>
      </c>
      <c r="B80" s="274">
        <v>2003</v>
      </c>
      <c r="C80" s="275">
        <v>46555.64</v>
      </c>
      <c r="D80" s="275">
        <v>0</v>
      </c>
      <c r="E80" s="275">
        <v>12026.96</v>
      </c>
      <c r="F80" s="275">
        <v>2893.67</v>
      </c>
      <c r="G80" s="275">
        <v>0</v>
      </c>
      <c r="H80" s="275">
        <v>35771.050000000003</v>
      </c>
      <c r="I80" s="276">
        <f t="shared" si="2"/>
        <v>97247.32</v>
      </c>
      <c r="J80" s="275"/>
      <c r="K80" s="277"/>
      <c r="L80" s="276">
        <f t="shared" si="3"/>
        <v>97247.32</v>
      </c>
    </row>
    <row r="81" spans="1:12" s="6" customFormat="1" ht="13.8" x14ac:dyDescent="0.3">
      <c r="A81" s="273" t="s">
        <v>230</v>
      </c>
      <c r="B81" s="274">
        <v>37003</v>
      </c>
      <c r="C81" s="275">
        <v>94736.73</v>
      </c>
      <c r="D81" s="275">
        <v>0</v>
      </c>
      <c r="E81" s="275">
        <v>30704.34</v>
      </c>
      <c r="F81" s="275">
        <v>2510.4499999999998</v>
      </c>
      <c r="G81" s="275">
        <v>0</v>
      </c>
      <c r="H81" s="275">
        <v>32654.35</v>
      </c>
      <c r="I81" s="276">
        <f t="shared" si="2"/>
        <v>160605.87</v>
      </c>
      <c r="J81" s="275"/>
      <c r="K81" s="277"/>
      <c r="L81" s="276">
        <f t="shared" si="3"/>
        <v>160605.87</v>
      </c>
    </row>
    <row r="82" spans="1:12" s="6" customFormat="1" ht="13.8" x14ac:dyDescent="0.3">
      <c r="A82" s="273" t="s">
        <v>231</v>
      </c>
      <c r="B82" s="274">
        <v>35002</v>
      </c>
      <c r="C82" s="275">
        <v>158440.95000000001</v>
      </c>
      <c r="D82" s="275">
        <v>0</v>
      </c>
      <c r="E82" s="275">
        <v>59879.39</v>
      </c>
      <c r="F82" s="275">
        <v>0</v>
      </c>
      <c r="G82" s="275">
        <v>0</v>
      </c>
      <c r="H82" s="275">
        <v>28496.75</v>
      </c>
      <c r="I82" s="276">
        <f t="shared" si="2"/>
        <v>246817.09000000003</v>
      </c>
      <c r="J82" s="275"/>
      <c r="K82" s="277"/>
      <c r="L82" s="276">
        <f t="shared" si="3"/>
        <v>246817.09000000003</v>
      </c>
    </row>
    <row r="83" spans="1:12" s="6" customFormat="1" ht="13.8" x14ac:dyDescent="0.3">
      <c r="A83" s="273" t="s">
        <v>232</v>
      </c>
      <c r="B83" s="274">
        <v>7002</v>
      </c>
      <c r="C83" s="275">
        <v>101600.67</v>
      </c>
      <c r="D83" s="275">
        <v>0</v>
      </c>
      <c r="E83" s="275">
        <v>16642.599999999999</v>
      </c>
      <c r="F83" s="275">
        <v>0</v>
      </c>
      <c r="G83" s="275">
        <v>95936.04</v>
      </c>
      <c r="H83" s="275">
        <v>29010.06</v>
      </c>
      <c r="I83" s="276">
        <f t="shared" si="2"/>
        <v>243189.37</v>
      </c>
      <c r="J83" s="275">
        <v>33891.35</v>
      </c>
      <c r="K83" s="277" t="s">
        <v>485</v>
      </c>
      <c r="L83" s="276">
        <f t="shared" si="3"/>
        <v>209298.02</v>
      </c>
    </row>
    <row r="84" spans="1:12" s="6" customFormat="1" ht="13.8" x14ac:dyDescent="0.3">
      <c r="A84" s="273" t="s">
        <v>233</v>
      </c>
      <c r="B84" s="274">
        <v>38003</v>
      </c>
      <c r="C84" s="275">
        <v>34865.4</v>
      </c>
      <c r="D84" s="275">
        <v>0</v>
      </c>
      <c r="E84" s="275">
        <v>7578.15</v>
      </c>
      <c r="F84" s="275">
        <v>4893.13</v>
      </c>
      <c r="G84" s="275">
        <v>0</v>
      </c>
      <c r="H84" s="275">
        <v>30386.240000000002</v>
      </c>
      <c r="I84" s="276">
        <f t="shared" si="2"/>
        <v>77722.92</v>
      </c>
      <c r="J84" s="275"/>
      <c r="K84" s="277"/>
      <c r="L84" s="276">
        <f t="shared" si="3"/>
        <v>77722.92</v>
      </c>
    </row>
    <row r="85" spans="1:12" s="6" customFormat="1" ht="13.8" x14ac:dyDescent="0.3">
      <c r="A85" s="273" t="s">
        <v>234</v>
      </c>
      <c r="B85" s="274">
        <v>45005</v>
      </c>
      <c r="C85" s="275">
        <v>76078.289999999994</v>
      </c>
      <c r="D85" s="275">
        <v>0</v>
      </c>
      <c r="E85" s="275">
        <v>10988.44</v>
      </c>
      <c r="F85" s="275">
        <v>0</v>
      </c>
      <c r="G85" s="275">
        <v>0</v>
      </c>
      <c r="H85" s="275">
        <v>15253.47</v>
      </c>
      <c r="I85" s="276">
        <f t="shared" si="2"/>
        <v>102320.2</v>
      </c>
      <c r="J85" s="275"/>
      <c r="K85" s="277"/>
      <c r="L85" s="276">
        <f t="shared" si="3"/>
        <v>102320.2</v>
      </c>
    </row>
    <row r="86" spans="1:12" s="6" customFormat="1" ht="13.8" x14ac:dyDescent="0.3">
      <c r="A86" s="273" t="s">
        <v>235</v>
      </c>
      <c r="B86" s="274">
        <v>40001</v>
      </c>
      <c r="C86" s="275">
        <v>60937.07</v>
      </c>
      <c r="D86" s="275">
        <v>0</v>
      </c>
      <c r="E86" s="275">
        <v>116058.44</v>
      </c>
      <c r="F86" s="275">
        <v>0</v>
      </c>
      <c r="G86" s="275">
        <v>0</v>
      </c>
      <c r="H86" s="275">
        <v>90702.04</v>
      </c>
      <c r="I86" s="276">
        <f t="shared" si="2"/>
        <v>267697.55</v>
      </c>
      <c r="J86" s="275"/>
      <c r="K86" s="277"/>
      <c r="L86" s="276">
        <f t="shared" si="3"/>
        <v>267697.55</v>
      </c>
    </row>
    <row r="87" spans="1:12" s="6" customFormat="1" ht="13.8" x14ac:dyDescent="0.3">
      <c r="A87" s="273" t="s">
        <v>236</v>
      </c>
      <c r="B87" s="274">
        <v>52004</v>
      </c>
      <c r="C87" s="275">
        <v>146581.89000000001</v>
      </c>
      <c r="D87" s="275">
        <v>0</v>
      </c>
      <c r="E87" s="275">
        <v>12959.41</v>
      </c>
      <c r="F87" s="275">
        <v>4161.54</v>
      </c>
      <c r="G87" s="275">
        <v>0</v>
      </c>
      <c r="H87" s="275">
        <v>45091.9</v>
      </c>
      <c r="I87" s="276">
        <f t="shared" si="2"/>
        <v>208794.74000000002</v>
      </c>
      <c r="J87" s="275"/>
      <c r="K87" s="277"/>
      <c r="L87" s="276">
        <f t="shared" si="3"/>
        <v>208794.74000000002</v>
      </c>
    </row>
    <row r="88" spans="1:12" s="6" customFormat="1" ht="13.8" x14ac:dyDescent="0.3">
      <c r="A88" s="273" t="s">
        <v>237</v>
      </c>
      <c r="B88" s="274">
        <v>41004</v>
      </c>
      <c r="C88" s="275">
        <v>313622.75</v>
      </c>
      <c r="D88" s="275">
        <v>0</v>
      </c>
      <c r="E88" s="275">
        <v>34772.18</v>
      </c>
      <c r="F88" s="275">
        <v>0</v>
      </c>
      <c r="G88" s="275">
        <v>0</v>
      </c>
      <c r="H88" s="275">
        <v>124282.2</v>
      </c>
      <c r="I88" s="276">
        <f t="shared" si="2"/>
        <v>472677.13</v>
      </c>
      <c r="J88" s="275"/>
      <c r="K88" s="277"/>
      <c r="L88" s="276">
        <f t="shared" si="3"/>
        <v>472677.13</v>
      </c>
    </row>
    <row r="89" spans="1:12" s="6" customFormat="1" ht="13.8" x14ac:dyDescent="0.3">
      <c r="A89" s="273" t="s">
        <v>238</v>
      </c>
      <c r="B89" s="274">
        <v>44002</v>
      </c>
      <c r="C89" s="275">
        <v>62915.33</v>
      </c>
      <c r="D89" s="275">
        <v>0</v>
      </c>
      <c r="E89" s="275">
        <v>7796.89</v>
      </c>
      <c r="F89" s="275">
        <v>0</v>
      </c>
      <c r="G89" s="275">
        <v>138195.88</v>
      </c>
      <c r="H89" s="275">
        <v>26335.05</v>
      </c>
      <c r="I89" s="276">
        <f t="shared" si="2"/>
        <v>235243.15</v>
      </c>
      <c r="J89" s="275"/>
      <c r="K89" s="277"/>
      <c r="L89" s="276">
        <f t="shared" si="3"/>
        <v>235243.15</v>
      </c>
    </row>
    <row r="90" spans="1:12" s="6" customFormat="1" ht="13.8" x14ac:dyDescent="0.3">
      <c r="A90" s="273" t="s">
        <v>239</v>
      </c>
      <c r="B90" s="274">
        <v>42001</v>
      </c>
      <c r="C90" s="275">
        <v>252526.35</v>
      </c>
      <c r="D90" s="275">
        <v>0</v>
      </c>
      <c r="E90" s="275">
        <v>59728.9</v>
      </c>
      <c r="F90" s="275">
        <v>0</v>
      </c>
      <c r="G90" s="275">
        <v>0</v>
      </c>
      <c r="H90" s="275">
        <v>21633.439999999999</v>
      </c>
      <c r="I90" s="276">
        <f t="shared" si="2"/>
        <v>333888.69</v>
      </c>
      <c r="J90" s="275"/>
      <c r="K90" s="277"/>
      <c r="L90" s="276">
        <f t="shared" si="3"/>
        <v>333888.69</v>
      </c>
    </row>
    <row r="91" spans="1:12" s="6" customFormat="1" ht="13.8" x14ac:dyDescent="0.3">
      <c r="A91" s="273" t="s">
        <v>240</v>
      </c>
      <c r="B91" s="274">
        <v>39002</v>
      </c>
      <c r="C91" s="275">
        <v>158450.84</v>
      </c>
      <c r="D91" s="275">
        <v>0</v>
      </c>
      <c r="E91" s="275">
        <v>63911.77</v>
      </c>
      <c r="F91" s="275">
        <v>0</v>
      </c>
      <c r="G91" s="275">
        <v>0</v>
      </c>
      <c r="H91" s="275">
        <v>86722.28</v>
      </c>
      <c r="I91" s="276">
        <f t="shared" si="2"/>
        <v>309084.89</v>
      </c>
      <c r="J91" s="275"/>
      <c r="K91" s="277"/>
      <c r="L91" s="276">
        <f t="shared" si="3"/>
        <v>309084.89</v>
      </c>
    </row>
    <row r="92" spans="1:12" s="6" customFormat="1" ht="13.8" x14ac:dyDescent="0.3">
      <c r="A92" s="273" t="s">
        <v>241</v>
      </c>
      <c r="B92" s="274">
        <v>60003</v>
      </c>
      <c r="C92" s="275">
        <v>304511.56</v>
      </c>
      <c r="D92" s="275">
        <v>0</v>
      </c>
      <c r="E92" s="275">
        <v>11349.65</v>
      </c>
      <c r="F92" s="275">
        <v>0</v>
      </c>
      <c r="G92" s="275">
        <v>0</v>
      </c>
      <c r="H92" s="275">
        <v>17911.38</v>
      </c>
      <c r="I92" s="276">
        <f t="shared" si="2"/>
        <v>333772.59000000003</v>
      </c>
      <c r="J92" s="275"/>
      <c r="K92" s="277"/>
      <c r="L92" s="276">
        <f t="shared" si="3"/>
        <v>333772.59000000003</v>
      </c>
    </row>
    <row r="93" spans="1:12" s="6" customFormat="1" ht="13.8" x14ac:dyDescent="0.3">
      <c r="A93" s="273" t="s">
        <v>242</v>
      </c>
      <c r="B93" s="274">
        <v>43007</v>
      </c>
      <c r="C93" s="275">
        <v>154275.85999999999</v>
      </c>
      <c r="D93" s="275">
        <v>0</v>
      </c>
      <c r="E93" s="275">
        <v>24996.9</v>
      </c>
      <c r="F93" s="275">
        <v>0</v>
      </c>
      <c r="G93" s="275">
        <v>0</v>
      </c>
      <c r="H93" s="275">
        <v>23483.53</v>
      </c>
      <c r="I93" s="276">
        <f t="shared" si="2"/>
        <v>202756.28999999998</v>
      </c>
      <c r="J93" s="275"/>
      <c r="K93" s="277"/>
      <c r="L93" s="276">
        <f t="shared" si="3"/>
        <v>202756.28999999998</v>
      </c>
    </row>
    <row r="94" spans="1:12" s="6" customFormat="1" ht="13.8" x14ac:dyDescent="0.3">
      <c r="A94" s="273" t="s">
        <v>243</v>
      </c>
      <c r="B94" s="274">
        <v>15001</v>
      </c>
      <c r="C94" s="275">
        <v>19611.28</v>
      </c>
      <c r="D94" s="275">
        <v>0</v>
      </c>
      <c r="E94" s="275">
        <v>4100.18</v>
      </c>
      <c r="F94" s="275">
        <v>0</v>
      </c>
      <c r="G94" s="275">
        <v>0</v>
      </c>
      <c r="H94" s="275">
        <v>13329.53</v>
      </c>
      <c r="I94" s="276">
        <f t="shared" si="2"/>
        <v>37040.99</v>
      </c>
      <c r="J94" s="275"/>
      <c r="K94" s="277"/>
      <c r="L94" s="276">
        <f t="shared" si="3"/>
        <v>37040.99</v>
      </c>
    </row>
    <row r="95" spans="1:12" s="6" customFormat="1" ht="13.8" x14ac:dyDescent="0.3">
      <c r="A95" s="273" t="s">
        <v>244</v>
      </c>
      <c r="B95" s="274">
        <v>15002</v>
      </c>
      <c r="C95" s="275">
        <v>67743.600000000006</v>
      </c>
      <c r="D95" s="275">
        <v>0</v>
      </c>
      <c r="E95" s="275">
        <v>23242.76</v>
      </c>
      <c r="F95" s="275">
        <v>0</v>
      </c>
      <c r="G95" s="275">
        <v>0</v>
      </c>
      <c r="H95" s="275">
        <v>17061.62</v>
      </c>
      <c r="I95" s="276">
        <f t="shared" si="2"/>
        <v>108047.98</v>
      </c>
      <c r="J95" s="275"/>
      <c r="K95" s="277"/>
      <c r="L95" s="276">
        <f t="shared" si="3"/>
        <v>108047.98</v>
      </c>
    </row>
    <row r="96" spans="1:12" s="6" customFormat="1" ht="13.8" x14ac:dyDescent="0.3">
      <c r="A96" s="273" t="s">
        <v>245</v>
      </c>
      <c r="B96" s="274">
        <v>46001</v>
      </c>
      <c r="C96" s="275">
        <v>225451.51999999999</v>
      </c>
      <c r="D96" s="275">
        <v>0</v>
      </c>
      <c r="E96" s="275">
        <v>380143.38</v>
      </c>
      <c r="F96" s="275">
        <v>0</v>
      </c>
      <c r="G96" s="275">
        <v>0</v>
      </c>
      <c r="H96" s="275">
        <v>111475.48</v>
      </c>
      <c r="I96" s="276">
        <f t="shared" si="2"/>
        <v>717070.38</v>
      </c>
      <c r="J96" s="275"/>
      <c r="K96" s="277"/>
      <c r="L96" s="276">
        <f t="shared" si="3"/>
        <v>717070.38</v>
      </c>
    </row>
    <row r="97" spans="1:12" s="6" customFormat="1" ht="13.8" x14ac:dyDescent="0.3">
      <c r="A97" s="273" t="s">
        <v>246</v>
      </c>
      <c r="B97" s="274">
        <v>33002</v>
      </c>
      <c r="C97" s="275">
        <v>385746.9</v>
      </c>
      <c r="D97" s="275">
        <v>0</v>
      </c>
      <c r="E97" s="275">
        <v>10890.23</v>
      </c>
      <c r="F97" s="275">
        <v>0</v>
      </c>
      <c r="G97" s="275">
        <v>0</v>
      </c>
      <c r="H97" s="275">
        <v>40105.72</v>
      </c>
      <c r="I97" s="276">
        <f t="shared" si="2"/>
        <v>436742.85</v>
      </c>
      <c r="J97" s="275"/>
      <c r="K97" s="277"/>
      <c r="L97" s="276">
        <f t="shared" si="3"/>
        <v>436742.85</v>
      </c>
    </row>
    <row r="98" spans="1:12" s="6" customFormat="1" ht="13.8" x14ac:dyDescent="0.3">
      <c r="A98" s="273" t="s">
        <v>247</v>
      </c>
      <c r="B98" s="274">
        <v>25004</v>
      </c>
      <c r="C98" s="275">
        <v>217152.37</v>
      </c>
      <c r="D98" s="275">
        <v>0</v>
      </c>
      <c r="E98" s="275">
        <v>50986.400000000001</v>
      </c>
      <c r="F98" s="275">
        <v>0</v>
      </c>
      <c r="G98" s="275">
        <v>42300.63</v>
      </c>
      <c r="H98" s="275">
        <v>73724.399999999994</v>
      </c>
      <c r="I98" s="276">
        <f t="shared" si="2"/>
        <v>384163.80000000005</v>
      </c>
      <c r="J98" s="275">
        <v>42300.63</v>
      </c>
      <c r="K98" s="280" t="s">
        <v>486</v>
      </c>
      <c r="L98" s="276">
        <f t="shared" si="3"/>
        <v>341863.17000000004</v>
      </c>
    </row>
    <row r="99" spans="1:12" s="6" customFormat="1" ht="13.8" x14ac:dyDescent="0.3">
      <c r="A99" s="273" t="s">
        <v>248</v>
      </c>
      <c r="B99" s="274">
        <v>29004</v>
      </c>
      <c r="C99" s="275">
        <v>154590.48000000001</v>
      </c>
      <c r="D99" s="275">
        <v>3834.61</v>
      </c>
      <c r="E99" s="275">
        <v>50269.36</v>
      </c>
      <c r="F99" s="275">
        <v>0</v>
      </c>
      <c r="G99" s="275">
        <v>43470.92</v>
      </c>
      <c r="H99" s="275">
        <v>79215.12</v>
      </c>
      <c r="I99" s="276">
        <f t="shared" si="2"/>
        <v>331380.49</v>
      </c>
      <c r="J99" s="275"/>
      <c r="K99" s="277"/>
      <c r="L99" s="276">
        <f t="shared" si="3"/>
        <v>331380.49</v>
      </c>
    </row>
    <row r="100" spans="1:12" s="6" customFormat="1" ht="13.8" x14ac:dyDescent="0.3">
      <c r="A100" s="273" t="s">
        <v>249</v>
      </c>
      <c r="B100" s="274">
        <v>17002</v>
      </c>
      <c r="C100" s="275">
        <v>353675.48</v>
      </c>
      <c r="D100" s="275">
        <v>0</v>
      </c>
      <c r="E100" s="275">
        <v>217505.84</v>
      </c>
      <c r="F100" s="275">
        <v>0</v>
      </c>
      <c r="G100" s="275">
        <v>0</v>
      </c>
      <c r="H100" s="275">
        <v>173738.1</v>
      </c>
      <c r="I100" s="276">
        <f t="shared" si="2"/>
        <v>744919.41999999993</v>
      </c>
      <c r="J100" s="275"/>
      <c r="K100" s="277"/>
      <c r="L100" s="276">
        <f t="shared" si="3"/>
        <v>744919.41999999993</v>
      </c>
    </row>
    <row r="101" spans="1:12" s="6" customFormat="1" ht="13.8" x14ac:dyDescent="0.3">
      <c r="A101" s="273" t="s">
        <v>250</v>
      </c>
      <c r="B101" s="274">
        <v>62006</v>
      </c>
      <c r="C101" s="275">
        <v>119728.99</v>
      </c>
      <c r="D101" s="275">
        <v>0</v>
      </c>
      <c r="E101" s="275">
        <v>61277.09</v>
      </c>
      <c r="F101" s="275">
        <v>0</v>
      </c>
      <c r="G101" s="275">
        <v>158209.26</v>
      </c>
      <c r="H101" s="275">
        <v>57111.23</v>
      </c>
      <c r="I101" s="276">
        <f t="shared" ref="I101:I152" si="4">SUM(C101:H101)</f>
        <v>396326.57</v>
      </c>
      <c r="J101" s="275"/>
      <c r="K101" s="277"/>
      <c r="L101" s="276">
        <f t="shared" si="3"/>
        <v>396326.57</v>
      </c>
    </row>
    <row r="102" spans="1:12" s="6" customFormat="1" ht="13.8" x14ac:dyDescent="0.3">
      <c r="A102" s="273" t="s">
        <v>251</v>
      </c>
      <c r="B102" s="274">
        <v>43002</v>
      </c>
      <c r="C102" s="275">
        <v>66763.990000000005</v>
      </c>
      <c r="D102" s="275">
        <v>0</v>
      </c>
      <c r="E102" s="275">
        <v>15030.48</v>
      </c>
      <c r="F102" s="275">
        <v>0</v>
      </c>
      <c r="G102" s="275">
        <v>0</v>
      </c>
      <c r="H102" s="275">
        <v>21210.57</v>
      </c>
      <c r="I102" s="276">
        <f t="shared" si="4"/>
        <v>103005.04000000001</v>
      </c>
      <c r="J102" s="275"/>
      <c r="K102" s="277"/>
      <c r="L102" s="276">
        <f t="shared" si="3"/>
        <v>103005.04000000001</v>
      </c>
    </row>
    <row r="103" spans="1:12" s="6" customFormat="1" ht="13.8" x14ac:dyDescent="0.3">
      <c r="A103" s="273" t="s">
        <v>252</v>
      </c>
      <c r="B103" s="274">
        <v>17003</v>
      </c>
      <c r="C103" s="275">
        <v>42103.09</v>
      </c>
      <c r="D103" s="275">
        <v>0</v>
      </c>
      <c r="E103" s="275">
        <v>12370.15</v>
      </c>
      <c r="F103" s="275">
        <v>0</v>
      </c>
      <c r="G103" s="275">
        <v>0</v>
      </c>
      <c r="H103" s="275">
        <v>20395.88</v>
      </c>
      <c r="I103" s="276">
        <f t="shared" si="4"/>
        <v>74869.119999999995</v>
      </c>
      <c r="J103" s="275"/>
      <c r="K103" s="277"/>
      <c r="L103" s="276">
        <f t="shared" si="3"/>
        <v>74869.119999999995</v>
      </c>
    </row>
    <row r="104" spans="1:12" s="6" customFormat="1" ht="13.8" x14ac:dyDescent="0.3">
      <c r="A104" s="273" t="s">
        <v>253</v>
      </c>
      <c r="B104" s="274">
        <v>51003</v>
      </c>
      <c r="C104" s="275">
        <v>55386.34</v>
      </c>
      <c r="D104" s="275">
        <v>0</v>
      </c>
      <c r="E104" s="275">
        <v>6387.25</v>
      </c>
      <c r="F104" s="275">
        <v>1168.71</v>
      </c>
      <c r="G104" s="275">
        <v>0</v>
      </c>
      <c r="H104" s="275">
        <v>13574.23</v>
      </c>
      <c r="I104" s="276">
        <f t="shared" si="4"/>
        <v>76516.53</v>
      </c>
      <c r="J104" s="275"/>
      <c r="K104" s="277"/>
      <c r="L104" s="276">
        <f t="shared" si="3"/>
        <v>76516.53</v>
      </c>
    </row>
    <row r="105" spans="1:12" s="6" customFormat="1" ht="13.8" x14ac:dyDescent="0.3">
      <c r="A105" s="273" t="s">
        <v>254</v>
      </c>
      <c r="B105" s="274">
        <v>9002</v>
      </c>
      <c r="C105" s="275">
        <v>107071.29</v>
      </c>
      <c r="D105" s="275">
        <v>0</v>
      </c>
      <c r="E105" s="275">
        <v>22952.49</v>
      </c>
      <c r="F105" s="275">
        <v>0</v>
      </c>
      <c r="G105" s="275">
        <v>174301.07</v>
      </c>
      <c r="H105" s="275">
        <v>32771.879999999997</v>
      </c>
      <c r="I105" s="276">
        <f t="shared" si="4"/>
        <v>337096.73</v>
      </c>
      <c r="J105" s="275">
        <v>174301.08</v>
      </c>
      <c r="K105" s="280" t="s">
        <v>487</v>
      </c>
      <c r="L105" s="276">
        <f t="shared" si="3"/>
        <v>162795.65</v>
      </c>
    </row>
    <row r="106" spans="1:12" s="6" customFormat="1" ht="13.8" x14ac:dyDescent="0.3">
      <c r="A106" s="273" t="s">
        <v>255</v>
      </c>
      <c r="B106" s="274">
        <v>56007</v>
      </c>
      <c r="C106" s="275">
        <v>101808.98</v>
      </c>
      <c r="D106" s="275">
        <v>0</v>
      </c>
      <c r="E106" s="275">
        <v>12876.76</v>
      </c>
      <c r="F106" s="275">
        <v>0</v>
      </c>
      <c r="G106" s="275">
        <v>0</v>
      </c>
      <c r="H106" s="275">
        <v>29528.77</v>
      </c>
      <c r="I106" s="276">
        <f t="shared" si="4"/>
        <v>144214.50999999998</v>
      </c>
      <c r="J106" s="275"/>
      <c r="K106" s="277"/>
      <c r="L106" s="276">
        <f t="shared" si="3"/>
        <v>144214.50999999998</v>
      </c>
    </row>
    <row r="107" spans="1:12" s="6" customFormat="1" ht="13.8" x14ac:dyDescent="0.3">
      <c r="A107" s="273" t="s">
        <v>256</v>
      </c>
      <c r="B107" s="274">
        <v>23003</v>
      </c>
      <c r="C107" s="275">
        <v>19017.830000000002</v>
      </c>
      <c r="D107" s="275">
        <v>0</v>
      </c>
      <c r="E107" s="275">
        <v>4168.17</v>
      </c>
      <c r="F107" s="275">
        <v>0</v>
      </c>
      <c r="G107" s="275">
        <v>0</v>
      </c>
      <c r="H107" s="275">
        <v>2106.06</v>
      </c>
      <c r="I107" s="276">
        <f t="shared" si="4"/>
        <v>25292.06</v>
      </c>
      <c r="J107" s="275"/>
      <c r="K107" s="277"/>
      <c r="L107" s="276">
        <f t="shared" si="3"/>
        <v>25292.06</v>
      </c>
    </row>
    <row r="108" spans="1:12" s="6" customFormat="1" ht="13.8" x14ac:dyDescent="0.3">
      <c r="A108" s="273" t="s">
        <v>306</v>
      </c>
      <c r="B108" s="274">
        <v>65001</v>
      </c>
      <c r="C108" s="275">
        <v>396646.82</v>
      </c>
      <c r="D108" s="275">
        <v>0</v>
      </c>
      <c r="E108" s="275">
        <v>128.5</v>
      </c>
      <c r="F108" s="275">
        <v>0</v>
      </c>
      <c r="G108" s="275">
        <v>0</v>
      </c>
      <c r="H108" s="275">
        <v>0</v>
      </c>
      <c r="I108" s="276">
        <f t="shared" si="4"/>
        <v>396775.32</v>
      </c>
      <c r="J108" s="275"/>
      <c r="K108" s="277"/>
      <c r="L108" s="276">
        <f t="shared" si="3"/>
        <v>396775.32</v>
      </c>
    </row>
    <row r="109" spans="1:12" s="6" customFormat="1" ht="13.8" x14ac:dyDescent="0.3">
      <c r="A109" s="273" t="s">
        <v>444</v>
      </c>
      <c r="B109" s="274">
        <v>39006</v>
      </c>
      <c r="C109" s="275">
        <v>70683.91</v>
      </c>
      <c r="D109" s="275">
        <v>0</v>
      </c>
      <c r="E109" s="275">
        <v>13092.599999999999</v>
      </c>
      <c r="F109" s="275">
        <v>1233.3399999999999</v>
      </c>
      <c r="G109" s="275">
        <v>0</v>
      </c>
      <c r="H109" s="275">
        <v>33030.839999999997</v>
      </c>
      <c r="I109" s="276">
        <f t="shared" si="4"/>
        <v>118040.69</v>
      </c>
      <c r="J109" s="275"/>
      <c r="K109" s="277"/>
      <c r="L109" s="276">
        <f t="shared" si="3"/>
        <v>118040.69</v>
      </c>
    </row>
    <row r="110" spans="1:12" s="6" customFormat="1" ht="13.8" x14ac:dyDescent="0.3">
      <c r="A110" s="273" t="s">
        <v>259</v>
      </c>
      <c r="B110" s="274">
        <v>60004</v>
      </c>
      <c r="C110" s="275">
        <v>96057.63</v>
      </c>
      <c r="D110" s="275">
        <v>0</v>
      </c>
      <c r="E110" s="275">
        <v>19982.310000000001</v>
      </c>
      <c r="F110" s="275">
        <v>0</v>
      </c>
      <c r="G110" s="275">
        <v>0</v>
      </c>
      <c r="H110" s="275">
        <v>36568.26</v>
      </c>
      <c r="I110" s="276">
        <f t="shared" si="4"/>
        <v>152608.20000000001</v>
      </c>
      <c r="J110" s="275"/>
      <c r="K110" s="277"/>
      <c r="L110" s="276">
        <f t="shared" si="3"/>
        <v>152608.20000000001</v>
      </c>
    </row>
    <row r="111" spans="1:12" s="6" customFormat="1" ht="13.8" x14ac:dyDescent="0.3">
      <c r="A111" s="273" t="s">
        <v>260</v>
      </c>
      <c r="B111" s="274">
        <v>33003</v>
      </c>
      <c r="C111" s="275">
        <v>114309.51</v>
      </c>
      <c r="D111" s="275">
        <v>0</v>
      </c>
      <c r="E111" s="275">
        <v>16584.77</v>
      </c>
      <c r="F111" s="275">
        <v>0</v>
      </c>
      <c r="G111" s="275">
        <v>0</v>
      </c>
      <c r="H111" s="275">
        <v>46739.67</v>
      </c>
      <c r="I111" s="276">
        <f t="shared" si="4"/>
        <v>177633.95</v>
      </c>
      <c r="J111" s="275"/>
      <c r="K111" s="277"/>
      <c r="L111" s="276">
        <f t="shared" si="3"/>
        <v>177633.95</v>
      </c>
    </row>
    <row r="112" spans="1:12" s="6" customFormat="1" ht="13.8" x14ac:dyDescent="0.3">
      <c r="A112" s="273" t="s">
        <v>261</v>
      </c>
      <c r="B112" s="274">
        <v>32002</v>
      </c>
      <c r="C112" s="275">
        <v>310803.51</v>
      </c>
      <c r="D112" s="275">
        <v>0</v>
      </c>
      <c r="E112" s="275">
        <v>107317.18</v>
      </c>
      <c r="F112" s="275">
        <v>0</v>
      </c>
      <c r="G112" s="275">
        <v>0</v>
      </c>
      <c r="H112" s="275">
        <v>784854.09</v>
      </c>
      <c r="I112" s="276">
        <f t="shared" si="4"/>
        <v>1202974.78</v>
      </c>
      <c r="J112" s="275"/>
      <c r="K112" s="277"/>
      <c r="L112" s="276">
        <f t="shared" si="3"/>
        <v>1202974.78</v>
      </c>
    </row>
    <row r="113" spans="1:12" s="6" customFormat="1" ht="13.8" x14ac:dyDescent="0.3">
      <c r="A113" s="273" t="s">
        <v>262</v>
      </c>
      <c r="B113" s="274">
        <v>1001</v>
      </c>
      <c r="C113" s="275">
        <v>81773.38</v>
      </c>
      <c r="D113" s="275">
        <v>0</v>
      </c>
      <c r="E113" s="275">
        <v>24140.1</v>
      </c>
      <c r="F113" s="275">
        <v>0</v>
      </c>
      <c r="G113" s="275">
        <v>0</v>
      </c>
      <c r="H113" s="275">
        <v>46382.04</v>
      </c>
      <c r="I113" s="276">
        <f t="shared" si="4"/>
        <v>152295.52000000002</v>
      </c>
      <c r="J113" s="275"/>
      <c r="K113" s="277"/>
      <c r="L113" s="276">
        <f t="shared" si="3"/>
        <v>152295.52000000002</v>
      </c>
    </row>
    <row r="114" spans="1:12" s="6" customFormat="1" ht="13.8" x14ac:dyDescent="0.3">
      <c r="A114" s="273" t="s">
        <v>263</v>
      </c>
      <c r="B114" s="274">
        <v>11005</v>
      </c>
      <c r="C114" s="275">
        <v>210711.46</v>
      </c>
      <c r="D114" s="275">
        <v>0</v>
      </c>
      <c r="E114" s="275">
        <v>22608.44</v>
      </c>
      <c r="F114" s="275">
        <v>4122.62</v>
      </c>
      <c r="G114" s="275">
        <v>0</v>
      </c>
      <c r="H114" s="275">
        <v>111363.41</v>
      </c>
      <c r="I114" s="276">
        <f t="shared" si="4"/>
        <v>348805.93</v>
      </c>
      <c r="J114" s="275"/>
      <c r="K114" s="277"/>
      <c r="L114" s="276">
        <f t="shared" si="3"/>
        <v>348805.93</v>
      </c>
    </row>
    <row r="115" spans="1:12" s="6" customFormat="1" ht="13.8" x14ac:dyDescent="0.3">
      <c r="A115" s="273" t="s">
        <v>264</v>
      </c>
      <c r="B115" s="274">
        <v>51004</v>
      </c>
      <c r="C115" s="275">
        <v>884732.86</v>
      </c>
      <c r="D115" s="275">
        <v>0</v>
      </c>
      <c r="E115" s="275">
        <v>598656.37</v>
      </c>
      <c r="F115" s="275">
        <v>413309.17</v>
      </c>
      <c r="G115" s="275">
        <v>0</v>
      </c>
      <c r="H115" s="275">
        <v>1136600.96</v>
      </c>
      <c r="I115" s="276">
        <f t="shared" si="4"/>
        <v>3033299.36</v>
      </c>
      <c r="J115" s="275"/>
      <c r="K115" s="277"/>
      <c r="L115" s="276">
        <f t="shared" si="3"/>
        <v>3033299.36</v>
      </c>
    </row>
    <row r="116" spans="1:12" s="6" customFormat="1" ht="13.8" x14ac:dyDescent="0.3">
      <c r="A116" s="273" t="s">
        <v>265</v>
      </c>
      <c r="B116" s="274">
        <v>56004</v>
      </c>
      <c r="C116" s="275">
        <v>66070.95</v>
      </c>
      <c r="D116" s="275">
        <v>0</v>
      </c>
      <c r="E116" s="275">
        <v>26269.96</v>
      </c>
      <c r="F116" s="275">
        <v>747.4</v>
      </c>
      <c r="G116" s="275">
        <v>0</v>
      </c>
      <c r="H116" s="275">
        <v>59854.12</v>
      </c>
      <c r="I116" s="276">
        <f t="shared" si="4"/>
        <v>152942.43</v>
      </c>
      <c r="J116" s="275"/>
      <c r="K116" s="277"/>
      <c r="L116" s="276">
        <f t="shared" si="3"/>
        <v>152942.43</v>
      </c>
    </row>
    <row r="117" spans="1:12" s="6" customFormat="1" ht="13.8" x14ac:dyDescent="0.3">
      <c r="A117" s="273" t="s">
        <v>266</v>
      </c>
      <c r="B117" s="274">
        <v>54004</v>
      </c>
      <c r="C117" s="275">
        <v>53142.45</v>
      </c>
      <c r="D117" s="275">
        <v>0</v>
      </c>
      <c r="E117" s="275">
        <v>20262.93</v>
      </c>
      <c r="F117" s="275">
        <v>0</v>
      </c>
      <c r="G117" s="275">
        <v>0</v>
      </c>
      <c r="H117" s="275">
        <v>18304.63</v>
      </c>
      <c r="I117" s="276">
        <f t="shared" si="4"/>
        <v>91710.010000000009</v>
      </c>
      <c r="J117" s="275"/>
      <c r="K117" s="277"/>
      <c r="L117" s="276">
        <f t="shared" si="3"/>
        <v>91710.010000000009</v>
      </c>
    </row>
    <row r="118" spans="1:12" s="6" customFormat="1" ht="13.8" x14ac:dyDescent="0.3">
      <c r="A118" s="273" t="s">
        <v>268</v>
      </c>
      <c r="B118" s="274">
        <v>55005</v>
      </c>
      <c r="C118" s="275">
        <v>52250.75</v>
      </c>
      <c r="D118" s="275">
        <v>0</v>
      </c>
      <c r="E118" s="275">
        <v>15063.62</v>
      </c>
      <c r="F118" s="275">
        <v>250.11</v>
      </c>
      <c r="G118" s="275">
        <v>0</v>
      </c>
      <c r="H118" s="275">
        <v>7976.41</v>
      </c>
      <c r="I118" s="276">
        <f t="shared" si="4"/>
        <v>75540.89</v>
      </c>
      <c r="J118" s="275"/>
      <c r="K118" s="277"/>
      <c r="L118" s="276">
        <f t="shared" si="3"/>
        <v>75540.89</v>
      </c>
    </row>
    <row r="119" spans="1:12" s="6" customFormat="1" ht="13.8" x14ac:dyDescent="0.3">
      <c r="A119" s="273" t="s">
        <v>269</v>
      </c>
      <c r="B119" s="274">
        <v>4003</v>
      </c>
      <c r="C119" s="275">
        <v>75318.41</v>
      </c>
      <c r="D119" s="275">
        <v>435.37</v>
      </c>
      <c r="E119" s="275">
        <v>9459.41</v>
      </c>
      <c r="F119" s="275">
        <v>10111.75</v>
      </c>
      <c r="G119" s="275">
        <v>0</v>
      </c>
      <c r="H119" s="275">
        <v>23407.19</v>
      </c>
      <c r="I119" s="276">
        <f t="shared" si="4"/>
        <v>118732.13</v>
      </c>
      <c r="J119" s="275"/>
      <c r="K119" s="277"/>
      <c r="L119" s="276">
        <f t="shared" si="3"/>
        <v>118732.13</v>
      </c>
    </row>
    <row r="120" spans="1:12" s="6" customFormat="1" ht="13.8" x14ac:dyDescent="0.3">
      <c r="A120" s="273" t="s">
        <v>270</v>
      </c>
      <c r="B120" s="274">
        <v>62005</v>
      </c>
      <c r="C120" s="275">
        <v>86791.76</v>
      </c>
      <c r="D120" s="275">
        <v>0</v>
      </c>
      <c r="E120" s="275">
        <v>21244.27</v>
      </c>
      <c r="F120" s="275">
        <v>0</v>
      </c>
      <c r="G120" s="275">
        <v>0</v>
      </c>
      <c r="H120" s="275">
        <v>45504.76</v>
      </c>
      <c r="I120" s="276">
        <f t="shared" si="4"/>
        <v>153540.79</v>
      </c>
      <c r="J120" s="275"/>
      <c r="K120" s="277"/>
      <c r="L120" s="276">
        <f t="shared" si="3"/>
        <v>153540.79</v>
      </c>
    </row>
    <row r="121" spans="1:12" s="6" customFormat="1" ht="13.8" x14ac:dyDescent="0.3">
      <c r="A121" s="273" t="s">
        <v>271</v>
      </c>
      <c r="B121" s="274">
        <v>49005</v>
      </c>
      <c r="C121" s="275">
        <v>1212254.7</v>
      </c>
      <c r="D121" s="275">
        <v>0</v>
      </c>
      <c r="E121" s="275">
        <v>711423.36</v>
      </c>
      <c r="F121" s="275">
        <v>0</v>
      </c>
      <c r="G121" s="275">
        <v>0</v>
      </c>
      <c r="H121" s="275">
        <v>6010979.4000000004</v>
      </c>
      <c r="I121" s="276">
        <f t="shared" si="4"/>
        <v>7934657.4600000009</v>
      </c>
      <c r="J121" s="275"/>
      <c r="K121" s="277"/>
      <c r="L121" s="276">
        <f t="shared" si="3"/>
        <v>7934657.4600000009</v>
      </c>
    </row>
    <row r="122" spans="1:12" s="6" customFormat="1" ht="13.8" x14ac:dyDescent="0.3">
      <c r="A122" s="273" t="s">
        <v>272</v>
      </c>
      <c r="B122" s="274">
        <v>5005</v>
      </c>
      <c r="C122" s="275">
        <v>95178.1</v>
      </c>
      <c r="D122" s="275">
        <v>0</v>
      </c>
      <c r="E122" s="275">
        <v>45587.98</v>
      </c>
      <c r="F122" s="275">
        <v>1159.74</v>
      </c>
      <c r="G122" s="275">
        <v>0</v>
      </c>
      <c r="H122" s="275">
        <v>90600.23</v>
      </c>
      <c r="I122" s="276">
        <f t="shared" si="4"/>
        <v>232526.05</v>
      </c>
      <c r="J122" s="275"/>
      <c r="K122" s="277"/>
      <c r="L122" s="276">
        <f t="shared" si="3"/>
        <v>232526.05</v>
      </c>
    </row>
    <row r="123" spans="1:12" s="6" customFormat="1" ht="13.8" x14ac:dyDescent="0.3">
      <c r="A123" s="273" t="s">
        <v>273</v>
      </c>
      <c r="B123" s="274">
        <v>54002</v>
      </c>
      <c r="C123" s="275">
        <v>450841.81</v>
      </c>
      <c r="D123" s="275">
        <v>0</v>
      </c>
      <c r="E123" s="275">
        <v>259894.5</v>
      </c>
      <c r="F123" s="275">
        <v>0</v>
      </c>
      <c r="G123" s="275">
        <v>0</v>
      </c>
      <c r="H123" s="275">
        <v>53225.46</v>
      </c>
      <c r="I123" s="276">
        <f t="shared" si="4"/>
        <v>763961.77</v>
      </c>
      <c r="J123" s="275"/>
      <c r="K123" s="277"/>
      <c r="L123" s="276">
        <f t="shared" si="3"/>
        <v>763961.77</v>
      </c>
    </row>
    <row r="124" spans="1:12" s="6" customFormat="1" ht="13.8" x14ac:dyDescent="0.3">
      <c r="A124" s="273" t="s">
        <v>274</v>
      </c>
      <c r="B124" s="274">
        <v>15003</v>
      </c>
      <c r="C124" s="275">
        <v>23870.959999999999</v>
      </c>
      <c r="D124" s="275">
        <v>0</v>
      </c>
      <c r="E124" s="275">
        <v>4201.3599999999997</v>
      </c>
      <c r="F124" s="275">
        <v>0</v>
      </c>
      <c r="G124" s="275">
        <v>0</v>
      </c>
      <c r="H124" s="275">
        <v>980.83</v>
      </c>
      <c r="I124" s="276">
        <f t="shared" si="4"/>
        <v>29053.15</v>
      </c>
      <c r="J124" s="275"/>
      <c r="K124" s="277"/>
      <c r="L124" s="276">
        <f t="shared" si="3"/>
        <v>29053.15</v>
      </c>
    </row>
    <row r="125" spans="1:12" s="6" customFormat="1" ht="13.8" x14ac:dyDescent="0.3">
      <c r="A125" s="273" t="s">
        <v>275</v>
      </c>
      <c r="B125" s="274">
        <v>26005</v>
      </c>
      <c r="C125" s="275">
        <v>46805.21</v>
      </c>
      <c r="D125" s="275">
        <v>0</v>
      </c>
      <c r="E125" s="275">
        <v>4002.66</v>
      </c>
      <c r="F125" s="275">
        <v>0</v>
      </c>
      <c r="G125" s="275">
        <v>0</v>
      </c>
      <c r="H125" s="275">
        <v>17341.8</v>
      </c>
      <c r="I125" s="276">
        <f t="shared" si="4"/>
        <v>68149.67</v>
      </c>
      <c r="J125" s="275"/>
      <c r="K125" s="277"/>
      <c r="L125" s="276">
        <f t="shared" si="3"/>
        <v>68149.67</v>
      </c>
    </row>
    <row r="126" spans="1:12" s="6" customFormat="1" ht="13.8" x14ac:dyDescent="0.3">
      <c r="A126" s="273" t="s">
        <v>276</v>
      </c>
      <c r="B126" s="274">
        <v>40002</v>
      </c>
      <c r="C126" s="275">
        <v>150337.49</v>
      </c>
      <c r="D126" s="275">
        <v>0</v>
      </c>
      <c r="E126" s="275">
        <v>372821.01</v>
      </c>
      <c r="F126" s="275">
        <v>0</v>
      </c>
      <c r="G126" s="275">
        <v>0</v>
      </c>
      <c r="H126" s="275">
        <v>129223.48</v>
      </c>
      <c r="I126" s="276">
        <f t="shared" si="4"/>
        <v>652381.98</v>
      </c>
      <c r="J126" s="275"/>
      <c r="K126" s="277"/>
      <c r="L126" s="276">
        <f t="shared" si="3"/>
        <v>652381.98</v>
      </c>
    </row>
    <row r="127" spans="1:12" s="6" customFormat="1" ht="13.8" x14ac:dyDescent="0.3">
      <c r="A127" s="273" t="s">
        <v>277</v>
      </c>
      <c r="B127" s="274">
        <v>57001</v>
      </c>
      <c r="C127" s="275">
        <v>33381.120000000003</v>
      </c>
      <c r="D127" s="275">
        <v>0</v>
      </c>
      <c r="E127" s="275">
        <v>91505.54</v>
      </c>
      <c r="F127" s="275">
        <v>0</v>
      </c>
      <c r="G127" s="275">
        <v>0</v>
      </c>
      <c r="H127" s="275">
        <v>97128.41</v>
      </c>
      <c r="I127" s="276">
        <f t="shared" si="4"/>
        <v>222015.07</v>
      </c>
      <c r="J127" s="275"/>
      <c r="K127" s="277"/>
      <c r="L127" s="276">
        <f t="shared" si="3"/>
        <v>222015.07</v>
      </c>
    </row>
    <row r="128" spans="1:12" s="6" customFormat="1" ht="27.6" x14ac:dyDescent="0.3">
      <c r="A128" s="273" t="s">
        <v>278</v>
      </c>
      <c r="B128" s="274">
        <v>54006</v>
      </c>
      <c r="C128" s="275">
        <v>58536.57</v>
      </c>
      <c r="D128" s="275">
        <v>311.95999999999998</v>
      </c>
      <c r="E128" s="275">
        <v>16941.36</v>
      </c>
      <c r="F128" s="275">
        <v>0</v>
      </c>
      <c r="G128" s="275">
        <v>526784.59</v>
      </c>
      <c r="H128" s="275">
        <v>12826.15</v>
      </c>
      <c r="I128" s="276">
        <f t="shared" si="4"/>
        <v>615400.63</v>
      </c>
      <c r="J128" s="275">
        <v>526784.59</v>
      </c>
      <c r="K128" s="281" t="s">
        <v>488</v>
      </c>
      <c r="L128" s="276">
        <f t="shared" si="3"/>
        <v>88616.040000000037</v>
      </c>
    </row>
    <row r="129" spans="1:12" s="6" customFormat="1" ht="13.8" x14ac:dyDescent="0.3">
      <c r="A129" s="273" t="s">
        <v>279</v>
      </c>
      <c r="B129" s="274">
        <v>41005</v>
      </c>
      <c r="C129" s="275">
        <v>140544.93</v>
      </c>
      <c r="D129" s="275">
        <v>0</v>
      </c>
      <c r="E129" s="275">
        <v>50899.91</v>
      </c>
      <c r="F129" s="275">
        <v>0</v>
      </c>
      <c r="G129" s="275">
        <v>0</v>
      </c>
      <c r="H129" s="275">
        <v>229307.13</v>
      </c>
      <c r="I129" s="276">
        <f t="shared" si="4"/>
        <v>420751.97</v>
      </c>
      <c r="J129" s="275"/>
      <c r="K129" s="277"/>
      <c r="L129" s="276">
        <f t="shared" si="3"/>
        <v>420751.97</v>
      </c>
    </row>
    <row r="130" spans="1:12" s="6" customFormat="1" ht="13.8" x14ac:dyDescent="0.3">
      <c r="A130" s="273" t="s">
        <v>280</v>
      </c>
      <c r="B130" s="274">
        <v>20003</v>
      </c>
      <c r="C130" s="275">
        <v>42987.16</v>
      </c>
      <c r="D130" s="275">
        <v>0</v>
      </c>
      <c r="E130" s="275">
        <v>1233.53</v>
      </c>
      <c r="F130" s="275">
        <v>0</v>
      </c>
      <c r="G130" s="275">
        <v>0</v>
      </c>
      <c r="H130" s="275">
        <v>14437.65</v>
      </c>
      <c r="I130" s="276">
        <f t="shared" si="4"/>
        <v>58658.340000000004</v>
      </c>
      <c r="J130" s="275"/>
      <c r="K130" s="277"/>
      <c r="L130" s="276">
        <f t="shared" si="3"/>
        <v>58658.340000000004</v>
      </c>
    </row>
    <row r="131" spans="1:12" s="6" customFormat="1" ht="13.8" x14ac:dyDescent="0.3">
      <c r="A131" s="273" t="s">
        <v>281</v>
      </c>
      <c r="B131" s="274">
        <v>66001</v>
      </c>
      <c r="C131" s="275">
        <v>396678.68</v>
      </c>
      <c r="D131" s="275">
        <v>0</v>
      </c>
      <c r="E131" s="275">
        <v>0</v>
      </c>
      <c r="F131" s="275">
        <v>0</v>
      </c>
      <c r="G131" s="275">
        <v>0</v>
      </c>
      <c r="H131" s="275">
        <v>235.83</v>
      </c>
      <c r="I131" s="276">
        <f t="shared" si="4"/>
        <v>396914.51</v>
      </c>
      <c r="J131" s="275"/>
      <c r="K131" s="277"/>
      <c r="L131" s="276">
        <f t="shared" si="3"/>
        <v>396914.51</v>
      </c>
    </row>
    <row r="132" spans="1:12" s="6" customFormat="1" ht="13.8" x14ac:dyDescent="0.3">
      <c r="A132" s="273" t="s">
        <v>282</v>
      </c>
      <c r="B132" s="274">
        <v>33005</v>
      </c>
      <c r="C132" s="275">
        <v>70817.789999999994</v>
      </c>
      <c r="D132" s="275">
        <v>0</v>
      </c>
      <c r="E132" s="275">
        <v>7126.1</v>
      </c>
      <c r="F132" s="275">
        <v>0</v>
      </c>
      <c r="G132" s="275">
        <v>250936.4</v>
      </c>
      <c r="H132" s="275">
        <v>32966.089999999997</v>
      </c>
      <c r="I132" s="276">
        <f t="shared" si="4"/>
        <v>361846.38</v>
      </c>
      <c r="J132" s="275">
        <v>122866.41</v>
      </c>
      <c r="K132" s="280" t="s">
        <v>479</v>
      </c>
      <c r="L132" s="276">
        <f t="shared" si="3"/>
        <v>238979.97</v>
      </c>
    </row>
    <row r="133" spans="1:12" s="6" customFormat="1" ht="13.8" x14ac:dyDescent="0.3">
      <c r="A133" s="273" t="s">
        <v>283</v>
      </c>
      <c r="B133" s="274">
        <v>49006</v>
      </c>
      <c r="C133" s="275">
        <v>296117.74</v>
      </c>
      <c r="D133" s="275">
        <v>0</v>
      </c>
      <c r="E133" s="275">
        <v>27570.13</v>
      </c>
      <c r="F133" s="275">
        <v>0</v>
      </c>
      <c r="G133" s="275">
        <v>0</v>
      </c>
      <c r="H133" s="275">
        <v>311150.39</v>
      </c>
      <c r="I133" s="276">
        <f t="shared" si="4"/>
        <v>634838.26</v>
      </c>
      <c r="J133" s="275"/>
      <c r="K133" s="277"/>
      <c r="L133" s="276">
        <f t="shared" ref="L133:L152" si="5">I133-J133</f>
        <v>634838.26</v>
      </c>
    </row>
    <row r="134" spans="1:12" s="6" customFormat="1" ht="13.8" x14ac:dyDescent="0.3">
      <c r="A134" s="273" t="s">
        <v>284</v>
      </c>
      <c r="B134" s="274">
        <v>13001</v>
      </c>
      <c r="C134" s="275">
        <v>180675.23</v>
      </c>
      <c r="D134" s="275">
        <v>0</v>
      </c>
      <c r="E134" s="275">
        <v>153123.1</v>
      </c>
      <c r="F134" s="275">
        <v>0</v>
      </c>
      <c r="G134" s="275">
        <v>0</v>
      </c>
      <c r="H134" s="275">
        <v>89177.32</v>
      </c>
      <c r="I134" s="276">
        <f t="shared" si="4"/>
        <v>422975.65</v>
      </c>
      <c r="J134" s="275"/>
      <c r="K134" s="277"/>
      <c r="L134" s="276">
        <f t="shared" si="5"/>
        <v>422975.65</v>
      </c>
    </row>
    <row r="135" spans="1:12" s="6" customFormat="1" ht="13.8" x14ac:dyDescent="0.3">
      <c r="A135" s="273" t="s">
        <v>285</v>
      </c>
      <c r="B135" s="274">
        <v>60006</v>
      </c>
      <c r="C135" s="275">
        <v>147213.01999999999</v>
      </c>
      <c r="D135" s="275">
        <v>0</v>
      </c>
      <c r="E135" s="275">
        <v>18009.27</v>
      </c>
      <c r="F135" s="275">
        <v>0</v>
      </c>
      <c r="G135" s="275">
        <v>0</v>
      </c>
      <c r="H135" s="275">
        <v>23093.62</v>
      </c>
      <c r="I135" s="276">
        <f t="shared" si="4"/>
        <v>188315.90999999997</v>
      </c>
      <c r="J135" s="275"/>
      <c r="K135" s="277"/>
      <c r="L135" s="276">
        <f t="shared" si="5"/>
        <v>188315.90999999997</v>
      </c>
    </row>
    <row r="136" spans="1:12" s="6" customFormat="1" ht="13.8" x14ac:dyDescent="0.3">
      <c r="A136" s="273" t="s">
        <v>286</v>
      </c>
      <c r="B136" s="274">
        <v>11004</v>
      </c>
      <c r="C136" s="275">
        <v>122946.01</v>
      </c>
      <c r="D136" s="275">
        <v>0</v>
      </c>
      <c r="E136" s="275">
        <v>34238.379999999997</v>
      </c>
      <c r="F136" s="275">
        <v>795.02</v>
      </c>
      <c r="G136" s="275">
        <v>83847.16</v>
      </c>
      <c r="H136" s="275">
        <v>71701.919999999998</v>
      </c>
      <c r="I136" s="276">
        <f t="shared" si="4"/>
        <v>313528.49</v>
      </c>
      <c r="J136" s="275">
        <v>77599.839999999997</v>
      </c>
      <c r="K136" s="280" t="s">
        <v>479</v>
      </c>
      <c r="L136" s="276">
        <f t="shared" si="5"/>
        <v>235928.65</v>
      </c>
    </row>
    <row r="137" spans="1:12" s="6" customFormat="1" ht="13.8" x14ac:dyDescent="0.3">
      <c r="A137" s="273" t="s">
        <v>287</v>
      </c>
      <c r="B137" s="274">
        <v>51005</v>
      </c>
      <c r="C137" s="275">
        <v>114406.34</v>
      </c>
      <c r="D137" s="275">
        <v>0</v>
      </c>
      <c r="E137" s="275">
        <v>8966.06</v>
      </c>
      <c r="F137" s="275">
        <v>0</v>
      </c>
      <c r="G137" s="275">
        <v>0</v>
      </c>
      <c r="H137" s="275">
        <v>21405.29</v>
      </c>
      <c r="I137" s="276">
        <f t="shared" si="4"/>
        <v>144777.69</v>
      </c>
      <c r="J137" s="275"/>
      <c r="K137" s="277"/>
      <c r="L137" s="276">
        <f t="shared" si="5"/>
        <v>144777.69</v>
      </c>
    </row>
    <row r="138" spans="1:12" s="6" customFormat="1" ht="13.8" x14ac:dyDescent="0.3">
      <c r="A138" s="273" t="s">
        <v>288</v>
      </c>
      <c r="B138" s="274">
        <v>6005</v>
      </c>
      <c r="C138" s="275">
        <v>37005.24</v>
      </c>
      <c r="D138" s="275">
        <v>0</v>
      </c>
      <c r="E138" s="275">
        <v>13988.02</v>
      </c>
      <c r="F138" s="275">
        <v>0</v>
      </c>
      <c r="G138" s="275">
        <v>0</v>
      </c>
      <c r="H138" s="275">
        <v>29699.66</v>
      </c>
      <c r="I138" s="276">
        <f t="shared" si="4"/>
        <v>80692.92</v>
      </c>
      <c r="J138" s="275"/>
      <c r="K138" s="277"/>
      <c r="L138" s="276">
        <f t="shared" si="5"/>
        <v>80692.92</v>
      </c>
    </row>
    <row r="139" spans="1:12" s="6" customFormat="1" ht="13.8" x14ac:dyDescent="0.3">
      <c r="A139" s="273" t="s">
        <v>289</v>
      </c>
      <c r="B139" s="274">
        <v>14004</v>
      </c>
      <c r="C139" s="275">
        <v>269510.76</v>
      </c>
      <c r="D139" s="275">
        <v>8466.36</v>
      </c>
      <c r="E139" s="275">
        <v>337129.08</v>
      </c>
      <c r="F139" s="275">
        <v>11973.27</v>
      </c>
      <c r="G139" s="275">
        <v>65805.759999999995</v>
      </c>
      <c r="H139" s="275">
        <v>455790.34</v>
      </c>
      <c r="I139" s="276">
        <f t="shared" si="4"/>
        <v>1148675.57</v>
      </c>
      <c r="J139" s="275">
        <v>65805.759999999995</v>
      </c>
      <c r="K139" s="277" t="s">
        <v>489</v>
      </c>
      <c r="L139" s="276">
        <f t="shared" si="5"/>
        <v>1082869.81</v>
      </c>
    </row>
    <row r="140" spans="1:12" s="6" customFormat="1" ht="13.8" x14ac:dyDescent="0.3">
      <c r="A140" s="273" t="s">
        <v>290</v>
      </c>
      <c r="B140" s="274">
        <v>18003</v>
      </c>
      <c r="C140" s="275">
        <v>52454.27</v>
      </c>
      <c r="D140" s="275">
        <v>0</v>
      </c>
      <c r="E140" s="275">
        <v>22779.08</v>
      </c>
      <c r="F140" s="275">
        <v>0</v>
      </c>
      <c r="G140" s="275">
        <v>0</v>
      </c>
      <c r="H140" s="275">
        <v>11720.79</v>
      </c>
      <c r="I140" s="276">
        <f t="shared" si="4"/>
        <v>86954.140000000014</v>
      </c>
      <c r="J140" s="275"/>
      <c r="K140" s="277"/>
      <c r="L140" s="276">
        <f t="shared" si="5"/>
        <v>86954.140000000014</v>
      </c>
    </row>
    <row r="141" spans="1:12" s="6" customFormat="1" ht="41.4" x14ac:dyDescent="0.3">
      <c r="A141" s="273" t="s">
        <v>291</v>
      </c>
      <c r="B141" s="274">
        <v>14005</v>
      </c>
      <c r="C141" s="275">
        <v>63197.49</v>
      </c>
      <c r="D141" s="275">
        <v>0</v>
      </c>
      <c r="E141" s="275">
        <v>10952.46</v>
      </c>
      <c r="F141" s="275">
        <v>0</v>
      </c>
      <c r="G141" s="275">
        <v>701733.42</v>
      </c>
      <c r="H141" s="275">
        <v>31646.15</v>
      </c>
      <c r="I141" s="276">
        <f t="shared" si="4"/>
        <v>807529.52</v>
      </c>
      <c r="J141" s="275">
        <v>701733.42</v>
      </c>
      <c r="K141" s="281" t="s">
        <v>490</v>
      </c>
      <c r="L141" s="276">
        <f t="shared" si="5"/>
        <v>105796.09999999998</v>
      </c>
    </row>
    <row r="142" spans="1:12" s="6" customFormat="1" ht="13.8" x14ac:dyDescent="0.3">
      <c r="A142" s="273" t="s">
        <v>292</v>
      </c>
      <c r="B142" s="274">
        <v>18005</v>
      </c>
      <c r="C142" s="275">
        <v>211859.86</v>
      </c>
      <c r="D142" s="275">
        <v>0</v>
      </c>
      <c r="E142" s="275">
        <v>45218.91</v>
      </c>
      <c r="F142" s="275">
        <v>2142.5700000000002</v>
      </c>
      <c r="G142" s="275">
        <v>0</v>
      </c>
      <c r="H142" s="275">
        <v>39068.300000000003</v>
      </c>
      <c r="I142" s="276">
        <f t="shared" si="4"/>
        <v>298289.64</v>
      </c>
      <c r="J142" s="275"/>
      <c r="K142" s="277"/>
      <c r="L142" s="276">
        <f t="shared" si="5"/>
        <v>298289.64</v>
      </c>
    </row>
    <row r="143" spans="1:12" s="6" customFormat="1" ht="13.8" x14ac:dyDescent="0.3">
      <c r="A143" s="273" t="s">
        <v>293</v>
      </c>
      <c r="B143" s="274">
        <v>36002</v>
      </c>
      <c r="C143" s="275">
        <v>112375.27</v>
      </c>
      <c r="D143" s="275">
        <v>0</v>
      </c>
      <c r="E143" s="275">
        <v>15316.01</v>
      </c>
      <c r="F143" s="275">
        <v>8070.62</v>
      </c>
      <c r="G143" s="275">
        <v>159819.04</v>
      </c>
      <c r="H143" s="275">
        <v>37233.69</v>
      </c>
      <c r="I143" s="276">
        <f t="shared" si="4"/>
        <v>332814.63</v>
      </c>
      <c r="J143" s="275"/>
      <c r="K143" s="277"/>
      <c r="L143" s="276">
        <f t="shared" si="5"/>
        <v>332814.63</v>
      </c>
    </row>
    <row r="144" spans="1:12" s="6" customFormat="1" ht="13.8" x14ac:dyDescent="0.3">
      <c r="A144" s="273" t="s">
        <v>294</v>
      </c>
      <c r="B144" s="274">
        <v>49007</v>
      </c>
      <c r="C144" s="275">
        <v>346296.44</v>
      </c>
      <c r="D144" s="275">
        <v>0</v>
      </c>
      <c r="E144" s="275">
        <v>37002.71</v>
      </c>
      <c r="F144" s="275">
        <v>0</v>
      </c>
      <c r="G144" s="275">
        <v>0</v>
      </c>
      <c r="H144" s="275">
        <v>317088.08</v>
      </c>
      <c r="I144" s="276">
        <f t="shared" si="4"/>
        <v>700387.23</v>
      </c>
      <c r="J144" s="275"/>
      <c r="K144" s="277"/>
      <c r="L144" s="276">
        <f t="shared" si="5"/>
        <v>700387.23</v>
      </c>
    </row>
    <row r="145" spans="1:12" s="6" customFormat="1" ht="13.8" x14ac:dyDescent="0.3">
      <c r="A145" s="273" t="s">
        <v>295</v>
      </c>
      <c r="B145" s="274">
        <v>1003</v>
      </c>
      <c r="C145" s="275">
        <v>42106.559999999998</v>
      </c>
      <c r="D145" s="275">
        <v>0</v>
      </c>
      <c r="E145" s="275">
        <v>11440.61</v>
      </c>
      <c r="F145" s="275">
        <v>0</v>
      </c>
      <c r="G145" s="275">
        <v>170507.26</v>
      </c>
      <c r="H145" s="275">
        <v>31850.36</v>
      </c>
      <c r="I145" s="276">
        <f t="shared" si="4"/>
        <v>255904.78999999998</v>
      </c>
      <c r="J145" s="275">
        <v>34008.92</v>
      </c>
      <c r="K145" s="277" t="s">
        <v>491</v>
      </c>
      <c r="L145" s="276">
        <f t="shared" si="5"/>
        <v>221895.87</v>
      </c>
    </row>
    <row r="146" spans="1:12" s="6" customFormat="1" ht="13.8" x14ac:dyDescent="0.3">
      <c r="A146" s="273" t="s">
        <v>296</v>
      </c>
      <c r="B146" s="274">
        <v>47001</v>
      </c>
      <c r="C146" s="275">
        <v>70245.81</v>
      </c>
      <c r="D146" s="275">
        <v>0</v>
      </c>
      <c r="E146" s="275">
        <v>18710.490000000002</v>
      </c>
      <c r="F146" s="275">
        <v>0</v>
      </c>
      <c r="G146" s="275">
        <v>0</v>
      </c>
      <c r="H146" s="275">
        <v>4323.58</v>
      </c>
      <c r="I146" s="276">
        <f t="shared" si="4"/>
        <v>93279.88</v>
      </c>
      <c r="J146" s="275"/>
      <c r="K146" s="277"/>
      <c r="L146" s="276">
        <f t="shared" si="5"/>
        <v>93279.88</v>
      </c>
    </row>
    <row r="147" spans="1:12" s="6" customFormat="1" ht="13.8" x14ac:dyDescent="0.3">
      <c r="A147" s="273" t="s">
        <v>297</v>
      </c>
      <c r="B147" s="274">
        <v>12003</v>
      </c>
      <c r="C147" s="275">
        <v>387375.32</v>
      </c>
      <c r="D147" s="275">
        <v>0</v>
      </c>
      <c r="E147" s="275">
        <v>14620.42</v>
      </c>
      <c r="F147" s="275">
        <v>0</v>
      </c>
      <c r="G147" s="275">
        <v>0</v>
      </c>
      <c r="H147" s="275">
        <v>18630</v>
      </c>
      <c r="I147" s="276">
        <f t="shared" si="4"/>
        <v>420625.74</v>
      </c>
      <c r="J147" s="275"/>
      <c r="K147" s="277"/>
      <c r="L147" s="276">
        <f t="shared" si="5"/>
        <v>420625.74</v>
      </c>
    </row>
    <row r="148" spans="1:12" s="6" customFormat="1" ht="13.8" x14ac:dyDescent="0.3">
      <c r="A148" s="273" t="s">
        <v>298</v>
      </c>
      <c r="B148" s="274">
        <v>54007</v>
      </c>
      <c r="C148" s="275">
        <v>84060.85</v>
      </c>
      <c r="D148" s="275">
        <v>0</v>
      </c>
      <c r="E148" s="275">
        <v>30402.55</v>
      </c>
      <c r="F148" s="275">
        <v>0</v>
      </c>
      <c r="G148" s="275">
        <v>0</v>
      </c>
      <c r="H148" s="275">
        <v>16729.39</v>
      </c>
      <c r="I148" s="276">
        <f t="shared" si="4"/>
        <v>131192.79</v>
      </c>
      <c r="J148" s="275"/>
      <c r="K148" s="277"/>
      <c r="L148" s="276">
        <f t="shared" si="5"/>
        <v>131192.79</v>
      </c>
    </row>
    <row r="149" spans="1:12" s="6" customFormat="1" ht="13.8" x14ac:dyDescent="0.3">
      <c r="A149" s="273" t="s">
        <v>299</v>
      </c>
      <c r="B149" s="274">
        <v>59002</v>
      </c>
      <c r="C149" s="275">
        <v>215936.04</v>
      </c>
      <c r="D149" s="275">
        <v>0</v>
      </c>
      <c r="E149" s="275">
        <v>42207.96</v>
      </c>
      <c r="F149" s="275">
        <v>0</v>
      </c>
      <c r="G149" s="275">
        <v>0</v>
      </c>
      <c r="H149" s="275">
        <v>82924.73</v>
      </c>
      <c r="I149" s="276">
        <f t="shared" si="4"/>
        <v>341068.73</v>
      </c>
      <c r="J149" s="275"/>
      <c r="K149" s="277"/>
      <c r="L149" s="276">
        <f t="shared" si="5"/>
        <v>341068.73</v>
      </c>
    </row>
    <row r="150" spans="1:12" s="6" customFormat="1" ht="13.8" x14ac:dyDescent="0.3">
      <c r="A150" s="273" t="s">
        <v>300</v>
      </c>
      <c r="B150" s="274">
        <v>2006</v>
      </c>
      <c r="C150" s="275">
        <v>58451.199999999997</v>
      </c>
      <c r="D150" s="275">
        <v>0</v>
      </c>
      <c r="E150" s="275">
        <v>15837.02</v>
      </c>
      <c r="F150" s="275">
        <v>0</v>
      </c>
      <c r="G150" s="275">
        <v>0</v>
      </c>
      <c r="H150" s="275">
        <v>48564.7</v>
      </c>
      <c r="I150" s="276">
        <f t="shared" si="4"/>
        <v>122852.92</v>
      </c>
      <c r="J150" s="275"/>
      <c r="K150" s="277"/>
      <c r="L150" s="276">
        <f t="shared" si="5"/>
        <v>122852.92</v>
      </c>
    </row>
    <row r="151" spans="1:12" s="6" customFormat="1" ht="13.8" x14ac:dyDescent="0.3">
      <c r="A151" s="273" t="s">
        <v>301</v>
      </c>
      <c r="B151" s="274">
        <v>55004</v>
      </c>
      <c r="C151" s="275">
        <v>41767.33</v>
      </c>
      <c r="D151" s="275">
        <v>0</v>
      </c>
      <c r="E151" s="275">
        <v>17402.48</v>
      </c>
      <c r="F151" s="275">
        <v>0</v>
      </c>
      <c r="G151" s="275">
        <v>0</v>
      </c>
      <c r="H151" s="275">
        <v>8625.0499999999993</v>
      </c>
      <c r="I151" s="276">
        <f t="shared" si="4"/>
        <v>67794.86</v>
      </c>
      <c r="J151" s="275"/>
      <c r="K151" s="277"/>
      <c r="L151" s="276">
        <f t="shared" si="5"/>
        <v>67794.86</v>
      </c>
    </row>
    <row r="152" spans="1:12" s="6" customFormat="1" ht="13.8" x14ac:dyDescent="0.3">
      <c r="A152" s="273" t="s">
        <v>302</v>
      </c>
      <c r="B152" s="274">
        <v>63003</v>
      </c>
      <c r="C152" s="275">
        <v>295140.40999999997</v>
      </c>
      <c r="D152" s="275">
        <v>0</v>
      </c>
      <c r="E152" s="275">
        <v>251289.03</v>
      </c>
      <c r="F152" s="275">
        <v>0</v>
      </c>
      <c r="G152" s="275">
        <v>0</v>
      </c>
      <c r="H152" s="275">
        <v>455897.02</v>
      </c>
      <c r="I152" s="276">
        <f t="shared" si="4"/>
        <v>1002326.46</v>
      </c>
      <c r="J152" s="275"/>
      <c r="K152" s="277"/>
      <c r="L152" s="276">
        <f t="shared" si="5"/>
        <v>1002326.46</v>
      </c>
    </row>
    <row r="153" spans="1:12" s="6" customFormat="1" ht="13.8" x14ac:dyDescent="0.3">
      <c r="C153" s="282">
        <f t="shared" ref="C153:H153" si="6">SUM(C5:C152)</f>
        <v>23817642.229999993</v>
      </c>
      <c r="D153" s="282">
        <f t="shared" si="6"/>
        <v>24754.52</v>
      </c>
      <c r="E153" s="282">
        <f t="shared" si="6"/>
        <v>7778707.8999999976</v>
      </c>
      <c r="F153" s="282">
        <f t="shared" si="6"/>
        <v>554808.60999999987</v>
      </c>
      <c r="G153" s="282">
        <f t="shared" si="6"/>
        <v>5299801.879999999</v>
      </c>
      <c r="H153" s="282">
        <f t="shared" si="6"/>
        <v>18619357.330000002</v>
      </c>
      <c r="I153" s="144">
        <f>SUM(I5:I152)</f>
        <v>56095072.470000006</v>
      </c>
      <c r="J153" s="282">
        <f>SUM(J5:J152)</f>
        <v>3748212.8299999996</v>
      </c>
      <c r="K153" s="282"/>
      <c r="L153" s="144">
        <f t="shared" ref="L153" si="7">SUM(L5:L152)</f>
        <v>52346859.639999993</v>
      </c>
    </row>
    <row r="154" spans="1:12" s="6" customFormat="1" ht="13.8" x14ac:dyDescent="0.3">
      <c r="C154" s="282"/>
      <c r="D154" s="282"/>
      <c r="E154" s="282"/>
      <c r="F154" s="282"/>
      <c r="G154" s="282"/>
      <c r="H154" s="282"/>
      <c r="I154" s="144"/>
      <c r="J154" s="282"/>
      <c r="K154" s="282"/>
      <c r="L154" s="144"/>
    </row>
    <row r="155" spans="1:12" s="6" customFormat="1" ht="13.8" x14ac:dyDescent="0.3">
      <c r="A155" s="6" t="s">
        <v>445</v>
      </c>
      <c r="C155" s="267"/>
      <c r="D155" s="267"/>
      <c r="E155" s="267"/>
      <c r="F155" s="267"/>
      <c r="G155" s="267"/>
      <c r="H155" s="267"/>
      <c r="J155" s="267"/>
      <c r="K155" s="267"/>
      <c r="L155" s="283"/>
    </row>
    <row r="156" spans="1:12" s="6" customFormat="1" ht="13.8" x14ac:dyDescent="0.3">
      <c r="A156" s="273" t="s">
        <v>267</v>
      </c>
      <c r="B156" s="274">
        <v>39004</v>
      </c>
      <c r="C156" s="275">
        <v>33069.19</v>
      </c>
      <c r="D156" s="275">
        <v>0</v>
      </c>
      <c r="E156" s="275">
        <v>5934.66</v>
      </c>
      <c r="F156" s="275">
        <v>0</v>
      </c>
      <c r="G156" s="275">
        <v>0</v>
      </c>
      <c r="H156" s="275">
        <v>14316.91</v>
      </c>
      <c r="I156" s="276">
        <f>SUM(C156:H156)</f>
        <v>53320.760000000009</v>
      </c>
      <c r="J156" s="267"/>
      <c r="K156" s="267"/>
      <c r="L156" s="144"/>
    </row>
    <row r="157" spans="1:12" s="6" customFormat="1" ht="13.8" x14ac:dyDescent="0.3">
      <c r="A157" s="273" t="s">
        <v>258</v>
      </c>
      <c r="B157" s="274">
        <v>39005</v>
      </c>
      <c r="C157" s="275">
        <v>37614.720000000001</v>
      </c>
      <c r="D157" s="275">
        <v>0</v>
      </c>
      <c r="E157" s="275">
        <v>7157.94</v>
      </c>
      <c r="F157" s="275">
        <v>1233.3399999999999</v>
      </c>
      <c r="G157" s="275">
        <v>0</v>
      </c>
      <c r="H157" s="275">
        <v>18713.93</v>
      </c>
      <c r="I157" s="276">
        <f>SUM(C157:H157)</f>
        <v>64719.93</v>
      </c>
      <c r="J157" s="267"/>
      <c r="K157" s="267"/>
    </row>
    <row r="158" spans="1:12" s="6" customFormat="1" ht="13.8" x14ac:dyDescent="0.3">
      <c r="C158" s="267"/>
      <c r="D158" s="267"/>
      <c r="E158" s="267"/>
      <c r="F158" s="267"/>
      <c r="G158" s="267"/>
      <c r="H158" s="267"/>
      <c r="J158" s="267"/>
      <c r="K158" s="267"/>
      <c r="L158" s="283"/>
    </row>
    <row r="159" spans="1:12" s="6" customFormat="1" ht="13.8" x14ac:dyDescent="0.3">
      <c r="C159" s="267"/>
      <c r="D159" s="267"/>
      <c r="E159" s="267"/>
      <c r="F159" s="267"/>
      <c r="G159" s="267"/>
      <c r="H159" s="267"/>
      <c r="J159" s="267"/>
      <c r="K159" s="267"/>
    </row>
    <row r="160" spans="1:12" s="6" customFormat="1" ht="13.8" x14ac:dyDescent="0.3">
      <c r="C160" s="267"/>
      <c r="D160" s="267"/>
      <c r="E160" s="267"/>
      <c r="F160" s="267"/>
      <c r="G160" s="267"/>
      <c r="H160" s="267"/>
      <c r="J160" s="267"/>
      <c r="K160" s="267"/>
    </row>
    <row r="161" spans="3:13" s="6" customFormat="1" ht="13.8" x14ac:dyDescent="0.3">
      <c r="E161" s="267"/>
      <c r="F161" s="267"/>
      <c r="G161" s="267"/>
      <c r="H161" s="267"/>
      <c r="I161" s="267"/>
      <c r="J161" s="267"/>
      <c r="L161" s="267"/>
      <c r="M161" s="267"/>
    </row>
    <row r="162" spans="3:13" s="6" customFormat="1" ht="13.8" x14ac:dyDescent="0.3">
      <c r="C162" s="267"/>
      <c r="D162" s="267"/>
      <c r="E162" s="267"/>
      <c r="F162" s="267"/>
      <c r="G162" s="267"/>
      <c r="H162" s="267"/>
      <c r="J162" s="267"/>
      <c r="K162" s="267"/>
    </row>
    <row r="163" spans="3:13" s="6" customFormat="1" ht="13.8" x14ac:dyDescent="0.3">
      <c r="C163" s="267"/>
      <c r="D163" s="267"/>
      <c r="E163" s="267"/>
      <c r="F163" s="267"/>
      <c r="G163" s="267"/>
      <c r="H163" s="267"/>
      <c r="J163" s="267"/>
      <c r="K163" s="267"/>
    </row>
    <row r="164" spans="3:13" s="6" customFormat="1" ht="13.8" x14ac:dyDescent="0.3">
      <c r="C164" s="267"/>
      <c r="D164" s="267"/>
      <c r="E164" s="267"/>
      <c r="F164" s="267"/>
      <c r="G164" s="267"/>
      <c r="H164" s="267"/>
      <c r="J164" s="267"/>
      <c r="K164" s="267"/>
    </row>
    <row r="165" spans="3:13" s="6" customFormat="1" ht="13.8" x14ac:dyDescent="0.3">
      <c r="C165" s="267"/>
      <c r="D165" s="267"/>
      <c r="E165" s="267"/>
      <c r="F165" s="267"/>
      <c r="G165" s="267"/>
      <c r="H165" s="267"/>
      <c r="J165" s="267"/>
      <c r="K165" s="267"/>
    </row>
    <row r="166" spans="3:13" s="6" customFormat="1" ht="13.8" x14ac:dyDescent="0.3">
      <c r="C166" s="267"/>
      <c r="D166" s="267"/>
      <c r="E166" s="267"/>
      <c r="F166" s="267"/>
      <c r="G166" s="267"/>
      <c r="H166" s="267"/>
      <c r="J166" s="267"/>
      <c r="K166" s="267"/>
    </row>
    <row r="167" spans="3:13" s="6" customFormat="1" ht="13.8" x14ac:dyDescent="0.3">
      <c r="C167" s="267"/>
      <c r="D167" s="267"/>
      <c r="E167" s="267"/>
      <c r="F167" s="267"/>
      <c r="G167" s="267"/>
      <c r="H167" s="267"/>
      <c r="J167" s="267"/>
      <c r="K167" s="267"/>
    </row>
    <row r="168" spans="3:13" s="6" customFormat="1" ht="13.8" x14ac:dyDescent="0.3">
      <c r="C168" s="267"/>
      <c r="D168" s="267"/>
      <c r="E168" s="267"/>
      <c r="F168" s="267"/>
      <c r="G168" s="267"/>
      <c r="H168" s="267"/>
      <c r="J168" s="267"/>
      <c r="K168" s="267"/>
    </row>
    <row r="169" spans="3:13" s="6" customFormat="1" ht="13.8" x14ac:dyDescent="0.3">
      <c r="C169" s="267"/>
      <c r="D169" s="267"/>
      <c r="E169" s="267"/>
      <c r="F169" s="267"/>
      <c r="G169" s="267"/>
      <c r="H169" s="267"/>
      <c r="J169" s="267"/>
      <c r="K169" s="267"/>
    </row>
    <row r="170" spans="3:13" s="6" customFormat="1" ht="13.8" x14ac:dyDescent="0.3">
      <c r="C170" s="267"/>
      <c r="D170" s="267"/>
      <c r="E170" s="267"/>
      <c r="F170" s="267"/>
      <c r="G170" s="267"/>
      <c r="H170" s="267"/>
      <c r="J170" s="267"/>
      <c r="K170" s="267"/>
    </row>
    <row r="171" spans="3:13" s="6" customFormat="1" ht="13.8" x14ac:dyDescent="0.3">
      <c r="C171" s="267"/>
      <c r="D171" s="267"/>
      <c r="E171" s="267"/>
      <c r="F171" s="267"/>
      <c r="G171" s="267"/>
      <c r="H171" s="267"/>
      <c r="J171" s="267"/>
      <c r="K171" s="267"/>
    </row>
    <row r="172" spans="3:13" s="6" customFormat="1" ht="13.8" x14ac:dyDescent="0.3">
      <c r="C172" s="267"/>
      <c r="D172" s="267"/>
      <c r="E172" s="267"/>
      <c r="F172" s="267"/>
      <c r="G172" s="267"/>
      <c r="H172" s="267"/>
      <c r="J172" s="267"/>
      <c r="K172" s="267"/>
    </row>
    <row r="173" spans="3:13" s="6" customFormat="1" ht="13.8" x14ac:dyDescent="0.3">
      <c r="C173" s="267"/>
      <c r="D173" s="267"/>
      <c r="E173" s="267"/>
      <c r="F173" s="267"/>
      <c r="G173" s="267"/>
      <c r="H173" s="267"/>
      <c r="J173" s="267"/>
      <c r="K173" s="267"/>
    </row>
    <row r="174" spans="3:13" s="6" customFormat="1" ht="13.8" x14ac:dyDescent="0.3">
      <c r="C174" s="267"/>
      <c r="D174" s="267"/>
      <c r="E174" s="267"/>
      <c r="F174" s="267"/>
      <c r="G174" s="267"/>
      <c r="H174" s="267"/>
      <c r="J174" s="267"/>
      <c r="K174" s="267"/>
    </row>
    <row r="175" spans="3:13" s="6" customFormat="1" ht="13.8" x14ac:dyDescent="0.3">
      <c r="C175" s="267"/>
      <c r="D175" s="267"/>
      <c r="E175" s="267"/>
      <c r="F175" s="267"/>
      <c r="G175" s="267"/>
      <c r="H175" s="267"/>
      <c r="J175" s="267"/>
      <c r="K175" s="267"/>
    </row>
    <row r="176" spans="3:13" s="6" customFormat="1" ht="13.8" x14ac:dyDescent="0.3">
      <c r="C176" s="267"/>
      <c r="D176" s="267"/>
      <c r="E176" s="267"/>
      <c r="F176" s="267"/>
      <c r="G176" s="267"/>
      <c r="H176" s="267"/>
      <c r="J176" s="267"/>
      <c r="K176" s="267"/>
    </row>
    <row r="177" spans="3:11" s="6" customFormat="1" ht="13.8" x14ac:dyDescent="0.3">
      <c r="C177" s="267"/>
      <c r="D177" s="267"/>
      <c r="E177" s="267"/>
      <c r="F177" s="267"/>
      <c r="G177" s="267"/>
      <c r="H177" s="267"/>
      <c r="J177" s="267"/>
      <c r="K177" s="267"/>
    </row>
    <row r="178" spans="3:11" s="6" customFormat="1" ht="13.8" x14ac:dyDescent="0.3">
      <c r="C178" s="267"/>
      <c r="D178" s="267"/>
      <c r="E178" s="267"/>
      <c r="F178" s="267"/>
      <c r="G178" s="267"/>
      <c r="H178" s="267"/>
      <c r="J178" s="267"/>
      <c r="K178" s="267"/>
    </row>
    <row r="179" spans="3:11" s="6" customFormat="1" ht="13.8" x14ac:dyDescent="0.3">
      <c r="C179" s="267"/>
      <c r="D179" s="267"/>
      <c r="E179" s="267"/>
      <c r="F179" s="267"/>
      <c r="G179" s="267"/>
      <c r="H179" s="267"/>
      <c r="J179" s="267"/>
      <c r="K179" s="267"/>
    </row>
    <row r="180" spans="3:11" s="6" customFormat="1" ht="13.8" x14ac:dyDescent="0.3">
      <c r="C180" s="267"/>
      <c r="D180" s="267"/>
      <c r="E180" s="267"/>
      <c r="F180" s="267"/>
      <c r="G180" s="267"/>
      <c r="H180" s="267"/>
      <c r="J180" s="267"/>
      <c r="K180" s="267"/>
    </row>
    <row r="181" spans="3:11" s="6" customFormat="1" ht="13.8" x14ac:dyDescent="0.3">
      <c r="C181" s="267"/>
      <c r="D181" s="267"/>
      <c r="E181" s="267"/>
      <c r="F181" s="267"/>
      <c r="G181" s="267"/>
      <c r="H181" s="267"/>
      <c r="J181" s="267"/>
      <c r="K181" s="267"/>
    </row>
    <row r="182" spans="3:11" s="6" customFormat="1" ht="13.8" x14ac:dyDescent="0.3">
      <c r="C182" s="267"/>
      <c r="D182" s="267"/>
      <c r="E182" s="267"/>
      <c r="F182" s="267"/>
      <c r="G182" s="267"/>
      <c r="H182" s="267"/>
      <c r="J182" s="267"/>
      <c r="K182" s="267"/>
    </row>
    <row r="183" spans="3:11" s="6" customFormat="1" ht="13.8" x14ac:dyDescent="0.3">
      <c r="C183" s="267"/>
      <c r="D183" s="267"/>
      <c r="E183" s="267"/>
      <c r="F183" s="267"/>
      <c r="G183" s="267"/>
      <c r="H183" s="267"/>
      <c r="J183" s="267"/>
      <c r="K183" s="267"/>
    </row>
    <row r="184" spans="3:11" s="6" customFormat="1" ht="13.8" x14ac:dyDescent="0.3">
      <c r="C184" s="267"/>
      <c r="D184" s="267"/>
      <c r="E184" s="267"/>
      <c r="F184" s="267"/>
      <c r="G184" s="267"/>
      <c r="H184" s="267"/>
      <c r="J184" s="267"/>
      <c r="K184" s="267"/>
    </row>
    <row r="185" spans="3:11" s="6" customFormat="1" ht="13.8" x14ac:dyDescent="0.3">
      <c r="C185" s="267"/>
      <c r="D185" s="267"/>
      <c r="E185" s="267"/>
      <c r="F185" s="267"/>
      <c r="G185" s="267"/>
      <c r="H185" s="267"/>
      <c r="J185" s="267"/>
      <c r="K185" s="267"/>
    </row>
    <row r="186" spans="3:11" s="6" customFormat="1" ht="13.8" x14ac:dyDescent="0.3">
      <c r="C186" s="267"/>
      <c r="D186" s="267"/>
      <c r="E186" s="267"/>
      <c r="F186" s="267"/>
      <c r="G186" s="267"/>
      <c r="H186" s="267"/>
      <c r="J186" s="267"/>
      <c r="K186" s="267"/>
    </row>
    <row r="187" spans="3:11" s="6" customFormat="1" ht="13.8" x14ac:dyDescent="0.3">
      <c r="C187" s="267"/>
      <c r="D187" s="267"/>
      <c r="E187" s="267"/>
      <c r="F187" s="267"/>
      <c r="G187" s="267"/>
      <c r="H187" s="267"/>
      <c r="J187" s="267"/>
      <c r="K187" s="267"/>
    </row>
    <row r="188" spans="3:11" s="6" customFormat="1" ht="13.8" x14ac:dyDescent="0.3">
      <c r="C188" s="267"/>
      <c r="D188" s="267"/>
      <c r="E188" s="267"/>
      <c r="F188" s="267"/>
      <c r="G188" s="267"/>
      <c r="H188" s="267"/>
      <c r="J188" s="267"/>
      <c r="K188" s="267"/>
    </row>
    <row r="189" spans="3:11" s="6" customFormat="1" ht="13.8" x14ac:dyDescent="0.3">
      <c r="C189" s="267"/>
      <c r="D189" s="267"/>
      <c r="E189" s="267"/>
      <c r="F189" s="267"/>
      <c r="G189" s="267"/>
      <c r="H189" s="267"/>
      <c r="J189" s="267"/>
      <c r="K189" s="267"/>
    </row>
    <row r="190" spans="3:11" s="6" customFormat="1" ht="13.8" x14ac:dyDescent="0.3">
      <c r="C190" s="267"/>
      <c r="D190" s="267"/>
      <c r="E190" s="267"/>
      <c r="F190" s="267"/>
      <c r="G190" s="267"/>
      <c r="H190" s="267"/>
      <c r="J190" s="267"/>
      <c r="K190" s="267"/>
    </row>
    <row r="191" spans="3:11" s="6" customFormat="1" ht="13.8" x14ac:dyDescent="0.3">
      <c r="C191" s="267"/>
      <c r="D191" s="267"/>
      <c r="E191" s="267"/>
      <c r="F191" s="267"/>
      <c r="G191" s="267"/>
      <c r="H191" s="267"/>
      <c r="J191" s="267"/>
      <c r="K191" s="267"/>
    </row>
    <row r="192" spans="3:11" s="6" customFormat="1" ht="13.8" x14ac:dyDescent="0.3">
      <c r="C192" s="267"/>
      <c r="D192" s="267"/>
      <c r="E192" s="267"/>
      <c r="F192" s="267"/>
      <c r="G192" s="267"/>
      <c r="H192" s="267"/>
      <c r="J192" s="267"/>
      <c r="K192" s="267"/>
    </row>
    <row r="193" spans="3:11" s="6" customFormat="1" ht="13.8" x14ac:dyDescent="0.3">
      <c r="C193" s="267"/>
      <c r="D193" s="267"/>
      <c r="E193" s="267"/>
      <c r="F193" s="267"/>
      <c r="G193" s="267"/>
      <c r="H193" s="267"/>
      <c r="J193" s="267"/>
      <c r="K193" s="267"/>
    </row>
    <row r="194" spans="3:11" s="6" customFormat="1" ht="13.8" x14ac:dyDescent="0.3">
      <c r="C194" s="267"/>
      <c r="D194" s="267"/>
      <c r="E194" s="267"/>
      <c r="F194" s="267"/>
      <c r="G194" s="267"/>
      <c r="H194" s="267"/>
      <c r="J194" s="267"/>
      <c r="K194" s="267"/>
    </row>
    <row r="195" spans="3:11" s="6" customFormat="1" ht="13.8" x14ac:dyDescent="0.3">
      <c r="C195" s="267"/>
      <c r="D195" s="267"/>
      <c r="E195" s="267"/>
      <c r="F195" s="267"/>
      <c r="G195" s="267"/>
      <c r="H195" s="267"/>
      <c r="J195" s="267"/>
      <c r="K195" s="267"/>
    </row>
    <row r="196" spans="3:11" s="6" customFormat="1" ht="13.8" x14ac:dyDescent="0.3">
      <c r="C196" s="267"/>
      <c r="D196" s="267"/>
      <c r="E196" s="267"/>
      <c r="F196" s="267"/>
      <c r="G196" s="267"/>
      <c r="H196" s="267"/>
      <c r="J196" s="267"/>
      <c r="K196" s="267"/>
    </row>
    <row r="197" spans="3:11" s="6" customFormat="1" ht="13.8" x14ac:dyDescent="0.3">
      <c r="C197" s="267"/>
      <c r="D197" s="267"/>
      <c r="E197" s="267"/>
      <c r="F197" s="267"/>
      <c r="G197" s="267"/>
      <c r="H197" s="267"/>
      <c r="J197" s="267"/>
      <c r="K197" s="267"/>
    </row>
    <row r="198" spans="3:11" s="6" customFormat="1" ht="13.8" x14ac:dyDescent="0.3">
      <c r="C198" s="267"/>
      <c r="D198" s="267"/>
      <c r="E198" s="267"/>
      <c r="F198" s="267"/>
      <c r="G198" s="267"/>
      <c r="H198" s="267"/>
      <c r="J198" s="267"/>
      <c r="K198" s="267"/>
    </row>
    <row r="199" spans="3:11" s="6" customFormat="1" ht="13.8" x14ac:dyDescent="0.3">
      <c r="C199" s="267"/>
      <c r="D199" s="267"/>
      <c r="E199" s="267"/>
      <c r="F199" s="267"/>
      <c r="G199" s="267"/>
      <c r="H199" s="267"/>
      <c r="J199" s="267"/>
      <c r="K199" s="267"/>
    </row>
    <row r="200" spans="3:11" s="6" customFormat="1" ht="13.8" x14ac:dyDescent="0.3">
      <c r="C200" s="267"/>
      <c r="D200" s="267"/>
      <c r="E200" s="267"/>
      <c r="F200" s="267"/>
      <c r="G200" s="267"/>
      <c r="H200" s="267"/>
      <c r="J200" s="267"/>
      <c r="K200" s="267"/>
    </row>
    <row r="201" spans="3:11" s="6" customFormat="1" ht="13.8" x14ac:dyDescent="0.3">
      <c r="C201" s="267"/>
      <c r="D201" s="267"/>
      <c r="E201" s="267"/>
      <c r="F201" s="267"/>
      <c r="G201" s="267"/>
      <c r="H201" s="267"/>
      <c r="J201" s="267"/>
      <c r="K201" s="267"/>
    </row>
    <row r="202" spans="3:11" s="6" customFormat="1" ht="13.8" x14ac:dyDescent="0.3">
      <c r="C202" s="267"/>
      <c r="D202" s="267"/>
      <c r="E202" s="267"/>
      <c r="F202" s="267"/>
      <c r="G202" s="267"/>
      <c r="H202" s="267"/>
      <c r="J202" s="267"/>
      <c r="K202" s="267"/>
    </row>
    <row r="203" spans="3:11" s="6" customFormat="1" ht="13.8" x14ac:dyDescent="0.3">
      <c r="C203" s="267"/>
      <c r="D203" s="267"/>
      <c r="E203" s="267"/>
      <c r="F203" s="267"/>
      <c r="G203" s="267"/>
      <c r="H203" s="267"/>
      <c r="J203" s="267"/>
      <c r="K203" s="267"/>
    </row>
    <row r="204" spans="3:11" s="6" customFormat="1" ht="13.8" x14ac:dyDescent="0.3">
      <c r="C204" s="267"/>
      <c r="D204" s="267"/>
      <c r="E204" s="267"/>
      <c r="F204" s="267"/>
      <c r="G204" s="267"/>
      <c r="H204" s="267"/>
      <c r="J204" s="267"/>
      <c r="K204" s="267"/>
    </row>
    <row r="205" spans="3:11" s="6" customFormat="1" ht="13.8" x14ac:dyDescent="0.3">
      <c r="C205" s="267"/>
      <c r="D205" s="267"/>
      <c r="E205" s="267"/>
      <c r="F205" s="267"/>
      <c r="G205" s="267"/>
      <c r="H205" s="267"/>
      <c r="J205" s="267"/>
      <c r="K205" s="267"/>
    </row>
    <row r="206" spans="3:11" s="6" customFormat="1" ht="13.8" x14ac:dyDescent="0.3">
      <c r="C206" s="267"/>
      <c r="D206" s="267"/>
      <c r="E206" s="267"/>
      <c r="F206" s="267"/>
      <c r="G206" s="267"/>
      <c r="H206" s="267"/>
      <c r="J206" s="267"/>
      <c r="K206" s="267"/>
    </row>
    <row r="207" spans="3:11" s="6" customFormat="1" ht="13.8" x14ac:dyDescent="0.3">
      <c r="C207" s="267"/>
      <c r="D207" s="267"/>
      <c r="E207" s="267"/>
      <c r="F207" s="267"/>
      <c r="G207" s="267"/>
      <c r="H207" s="267"/>
      <c r="J207" s="267"/>
      <c r="K207" s="267"/>
    </row>
    <row r="208" spans="3:11" s="6" customFormat="1" ht="13.8" x14ac:dyDescent="0.3">
      <c r="C208" s="267"/>
      <c r="D208" s="267"/>
      <c r="E208" s="267"/>
      <c r="F208" s="267"/>
      <c r="G208" s="267"/>
      <c r="H208" s="267"/>
      <c r="J208" s="267"/>
      <c r="K208" s="267"/>
    </row>
    <row r="209" spans="3:11" s="6" customFormat="1" ht="13.8" x14ac:dyDescent="0.3">
      <c r="C209" s="267"/>
      <c r="D209" s="267"/>
      <c r="E209" s="267"/>
      <c r="F209" s="267"/>
      <c r="G209" s="267"/>
      <c r="H209" s="267"/>
      <c r="J209" s="267"/>
      <c r="K209" s="267"/>
    </row>
    <row r="210" spans="3:11" s="6" customFormat="1" ht="13.8" x14ac:dyDescent="0.3">
      <c r="C210" s="267"/>
      <c r="D210" s="267"/>
      <c r="E210" s="267"/>
      <c r="F210" s="267"/>
      <c r="G210" s="267"/>
      <c r="H210" s="267"/>
      <c r="J210" s="267"/>
      <c r="K210" s="267"/>
    </row>
    <row r="211" spans="3:11" s="6" customFormat="1" ht="13.8" x14ac:dyDescent="0.3">
      <c r="C211" s="267"/>
      <c r="D211" s="267"/>
      <c r="E211" s="267"/>
      <c r="F211" s="267"/>
      <c r="G211" s="267"/>
      <c r="H211" s="267"/>
      <c r="J211" s="267"/>
      <c r="K211" s="267"/>
    </row>
    <row r="212" spans="3:11" s="6" customFormat="1" ht="13.8" x14ac:dyDescent="0.3">
      <c r="C212" s="267"/>
      <c r="D212" s="267"/>
      <c r="E212" s="267"/>
      <c r="F212" s="267"/>
      <c r="G212" s="267"/>
      <c r="H212" s="267"/>
      <c r="J212" s="267"/>
      <c r="K212" s="267"/>
    </row>
    <row r="213" spans="3:11" s="6" customFormat="1" ht="13.8" x14ac:dyDescent="0.3">
      <c r="C213" s="267"/>
      <c r="D213" s="267"/>
      <c r="E213" s="267"/>
      <c r="F213" s="267"/>
      <c r="G213" s="267"/>
      <c r="H213" s="267"/>
      <c r="J213" s="267"/>
      <c r="K213" s="267"/>
    </row>
    <row r="214" spans="3:11" s="6" customFormat="1" ht="13.8" x14ac:dyDescent="0.3">
      <c r="C214" s="267"/>
      <c r="D214" s="267"/>
      <c r="E214" s="267"/>
      <c r="F214" s="267"/>
      <c r="G214" s="267"/>
      <c r="H214" s="267"/>
      <c r="J214" s="267"/>
      <c r="K214" s="267"/>
    </row>
    <row r="215" spans="3:11" s="6" customFormat="1" ht="13.8" x14ac:dyDescent="0.3">
      <c r="C215" s="267"/>
      <c r="D215" s="267"/>
      <c r="E215" s="267"/>
      <c r="F215" s="267"/>
      <c r="G215" s="267"/>
      <c r="H215" s="267"/>
      <c r="J215" s="267"/>
      <c r="K215" s="267"/>
    </row>
    <row r="216" spans="3:11" s="6" customFormat="1" ht="13.8" x14ac:dyDescent="0.3">
      <c r="C216" s="267"/>
      <c r="D216" s="267"/>
      <c r="E216" s="267"/>
      <c r="F216" s="267"/>
      <c r="G216" s="267"/>
      <c r="H216" s="267"/>
      <c r="J216" s="267"/>
      <c r="K216" s="267"/>
    </row>
    <row r="217" spans="3:11" s="6" customFormat="1" ht="13.8" x14ac:dyDescent="0.3">
      <c r="C217" s="267"/>
      <c r="D217" s="267"/>
      <c r="E217" s="267"/>
      <c r="F217" s="267"/>
      <c r="G217" s="267"/>
      <c r="H217" s="267"/>
      <c r="J217" s="267"/>
      <c r="K217" s="267"/>
    </row>
    <row r="218" spans="3:11" s="6" customFormat="1" ht="13.8" x14ac:dyDescent="0.3">
      <c r="C218" s="267"/>
      <c r="D218" s="267"/>
      <c r="E218" s="267"/>
      <c r="F218" s="267"/>
      <c r="G218" s="267"/>
      <c r="H218" s="267"/>
      <c r="J218" s="267"/>
      <c r="K218" s="267"/>
    </row>
    <row r="219" spans="3:11" s="6" customFormat="1" ht="13.8" x14ac:dyDescent="0.3">
      <c r="C219" s="267"/>
      <c r="D219" s="267"/>
      <c r="E219" s="267"/>
      <c r="F219" s="267"/>
      <c r="G219" s="267"/>
      <c r="H219" s="267"/>
      <c r="J219" s="267"/>
      <c r="K219" s="267"/>
    </row>
    <row r="220" spans="3:11" s="6" customFormat="1" ht="13.8" x14ac:dyDescent="0.3">
      <c r="C220" s="267"/>
      <c r="D220" s="267"/>
      <c r="E220" s="267"/>
      <c r="F220" s="267"/>
      <c r="G220" s="267"/>
      <c r="H220" s="267"/>
      <c r="J220" s="267"/>
      <c r="K220" s="267"/>
    </row>
    <row r="221" spans="3:11" s="6" customFormat="1" ht="13.8" x14ac:dyDescent="0.3">
      <c r="C221" s="267"/>
      <c r="D221" s="267"/>
      <c r="E221" s="267"/>
      <c r="F221" s="267"/>
      <c r="G221" s="267"/>
      <c r="H221" s="267"/>
      <c r="J221" s="267"/>
      <c r="K221" s="267"/>
    </row>
    <row r="222" spans="3:11" s="6" customFormat="1" ht="13.8" x14ac:dyDescent="0.3">
      <c r="C222" s="267"/>
      <c r="D222" s="267"/>
      <c r="E222" s="267"/>
      <c r="F222" s="267"/>
      <c r="G222" s="267"/>
      <c r="H222" s="267"/>
      <c r="J222" s="267"/>
      <c r="K222" s="267"/>
    </row>
    <row r="223" spans="3:11" s="6" customFormat="1" ht="13.8" x14ac:dyDescent="0.3">
      <c r="C223" s="267"/>
      <c r="D223" s="267"/>
      <c r="E223" s="267"/>
      <c r="F223" s="267"/>
      <c r="G223" s="267"/>
      <c r="H223" s="267"/>
      <c r="J223" s="267"/>
      <c r="K223" s="267"/>
    </row>
    <row r="224" spans="3:11" s="6" customFormat="1" ht="13.8" x14ac:dyDescent="0.3">
      <c r="C224" s="267"/>
      <c r="D224" s="267"/>
      <c r="E224" s="267"/>
      <c r="F224" s="267"/>
      <c r="G224" s="267"/>
      <c r="H224" s="267"/>
      <c r="J224" s="267"/>
      <c r="K224" s="267"/>
    </row>
    <row r="225" spans="3:11" s="6" customFormat="1" ht="13.8" x14ac:dyDescent="0.3">
      <c r="C225" s="267"/>
      <c r="D225" s="267"/>
      <c r="E225" s="267"/>
      <c r="F225" s="267"/>
      <c r="G225" s="267"/>
      <c r="H225" s="267"/>
      <c r="J225" s="267"/>
      <c r="K225" s="267"/>
    </row>
    <row r="226" spans="3:11" s="6" customFormat="1" ht="13.8" x14ac:dyDescent="0.3">
      <c r="C226" s="267"/>
      <c r="D226" s="267"/>
      <c r="E226" s="267"/>
      <c r="F226" s="267"/>
      <c r="G226" s="267"/>
      <c r="H226" s="267"/>
      <c r="J226" s="267"/>
      <c r="K226" s="267"/>
    </row>
    <row r="227" spans="3:11" s="6" customFormat="1" ht="13.8" x14ac:dyDescent="0.3">
      <c r="C227" s="267"/>
      <c r="D227" s="267"/>
      <c r="E227" s="267"/>
      <c r="F227" s="267"/>
      <c r="G227" s="267"/>
      <c r="H227" s="267"/>
      <c r="J227" s="267"/>
      <c r="K227" s="267"/>
    </row>
    <row r="228" spans="3:11" s="6" customFormat="1" ht="13.8" x14ac:dyDescent="0.3">
      <c r="C228" s="267"/>
      <c r="D228" s="267"/>
      <c r="E228" s="267"/>
      <c r="F228" s="267"/>
      <c r="G228" s="267"/>
      <c r="H228" s="267"/>
      <c r="J228" s="267"/>
      <c r="K228" s="267"/>
    </row>
    <row r="229" spans="3:11" s="6" customFormat="1" ht="13.8" x14ac:dyDescent="0.3">
      <c r="C229" s="267"/>
      <c r="D229" s="267"/>
      <c r="E229" s="267"/>
      <c r="F229" s="267"/>
      <c r="G229" s="267"/>
      <c r="H229" s="267"/>
      <c r="J229" s="267"/>
      <c r="K229" s="267"/>
    </row>
    <row r="230" spans="3:11" s="6" customFormat="1" ht="13.8" x14ac:dyDescent="0.3">
      <c r="C230" s="267"/>
      <c r="D230" s="267"/>
      <c r="E230" s="267"/>
      <c r="F230" s="267"/>
      <c r="G230" s="267"/>
      <c r="H230" s="267"/>
      <c r="J230" s="267"/>
      <c r="K230" s="267"/>
    </row>
    <row r="231" spans="3:11" s="6" customFormat="1" ht="13.8" x14ac:dyDescent="0.3">
      <c r="C231" s="267"/>
      <c r="D231" s="267"/>
      <c r="E231" s="267"/>
      <c r="F231" s="267"/>
      <c r="G231" s="267"/>
      <c r="H231" s="267"/>
      <c r="J231" s="267"/>
      <c r="K231" s="267"/>
    </row>
    <row r="232" spans="3:11" s="6" customFormat="1" ht="13.8" x14ac:dyDescent="0.3">
      <c r="C232" s="267"/>
      <c r="D232" s="267"/>
      <c r="E232" s="267"/>
      <c r="F232" s="267"/>
      <c r="G232" s="267"/>
      <c r="H232" s="267"/>
      <c r="J232" s="267"/>
      <c r="K232" s="267"/>
    </row>
    <row r="233" spans="3:11" s="6" customFormat="1" ht="13.8" x14ac:dyDescent="0.3">
      <c r="C233" s="267"/>
      <c r="D233" s="267"/>
      <c r="E233" s="267"/>
      <c r="F233" s="267"/>
      <c r="G233" s="267"/>
      <c r="H233" s="267"/>
      <c r="J233" s="267"/>
      <c r="K233" s="267"/>
    </row>
    <row r="234" spans="3:11" s="6" customFormat="1" ht="13.8" x14ac:dyDescent="0.3">
      <c r="C234" s="267"/>
      <c r="D234" s="267"/>
      <c r="E234" s="267"/>
      <c r="F234" s="267"/>
      <c r="G234" s="267"/>
      <c r="H234" s="267"/>
      <c r="J234" s="267"/>
      <c r="K234" s="267"/>
    </row>
    <row r="235" spans="3:11" s="6" customFormat="1" ht="13.8" x14ac:dyDescent="0.3">
      <c r="C235" s="267"/>
      <c r="D235" s="267"/>
      <c r="E235" s="267"/>
      <c r="F235" s="267"/>
      <c r="G235" s="267"/>
      <c r="H235" s="267"/>
      <c r="J235" s="267"/>
      <c r="K235" s="267"/>
    </row>
    <row r="236" spans="3:11" s="6" customFormat="1" ht="13.8" x14ac:dyDescent="0.3">
      <c r="C236" s="267"/>
      <c r="D236" s="267"/>
      <c r="E236" s="267"/>
      <c r="F236" s="267"/>
      <c r="G236" s="267"/>
      <c r="H236" s="267"/>
      <c r="J236" s="267"/>
      <c r="K236" s="267"/>
    </row>
    <row r="237" spans="3:11" s="6" customFormat="1" ht="13.8" x14ac:dyDescent="0.3">
      <c r="C237" s="267"/>
      <c r="D237" s="267"/>
      <c r="E237" s="267"/>
      <c r="F237" s="267"/>
      <c r="G237" s="267"/>
      <c r="H237" s="267"/>
      <c r="J237" s="267"/>
      <c r="K237" s="267"/>
    </row>
    <row r="238" spans="3:11" s="6" customFormat="1" ht="13.8" x14ac:dyDescent="0.3">
      <c r="C238" s="267"/>
      <c r="D238" s="267"/>
      <c r="E238" s="267"/>
      <c r="F238" s="267"/>
      <c r="G238" s="267"/>
      <c r="H238" s="267"/>
      <c r="J238" s="267"/>
      <c r="K238" s="267"/>
    </row>
    <row r="239" spans="3:11" s="6" customFormat="1" ht="13.8" x14ac:dyDescent="0.3">
      <c r="C239" s="267"/>
      <c r="D239" s="267"/>
      <c r="E239" s="267"/>
      <c r="F239" s="267"/>
      <c r="G239" s="267"/>
      <c r="H239" s="267"/>
      <c r="J239" s="267"/>
      <c r="K239" s="267"/>
    </row>
    <row r="240" spans="3:11" s="6" customFormat="1" ht="13.8" x14ac:dyDescent="0.3">
      <c r="C240" s="267"/>
      <c r="D240" s="267"/>
      <c r="E240" s="267"/>
      <c r="F240" s="267"/>
      <c r="G240" s="267"/>
      <c r="H240" s="267"/>
      <c r="J240" s="267"/>
      <c r="K240" s="267"/>
    </row>
    <row r="241" spans="3:11" s="6" customFormat="1" ht="13.8" x14ac:dyDescent="0.3">
      <c r="C241" s="267"/>
      <c r="D241" s="267"/>
      <c r="E241" s="267"/>
      <c r="F241" s="267"/>
      <c r="G241" s="267"/>
      <c r="H241" s="267"/>
      <c r="J241" s="267"/>
      <c r="K241" s="267"/>
    </row>
    <row r="242" spans="3:11" s="6" customFormat="1" ht="13.8" x14ac:dyDescent="0.3">
      <c r="C242" s="267"/>
      <c r="D242" s="267"/>
      <c r="E242" s="267"/>
      <c r="F242" s="267"/>
      <c r="G242" s="267"/>
      <c r="H242" s="267"/>
      <c r="J242" s="267"/>
      <c r="K242" s="267"/>
    </row>
    <row r="243" spans="3:11" s="6" customFormat="1" ht="13.8" x14ac:dyDescent="0.3">
      <c r="C243" s="267"/>
      <c r="D243" s="267"/>
      <c r="E243" s="267"/>
      <c r="F243" s="267"/>
      <c r="G243" s="267"/>
      <c r="H243" s="267"/>
      <c r="J243" s="267"/>
      <c r="K243" s="267"/>
    </row>
    <row r="244" spans="3:11" s="6" customFormat="1" ht="13.8" x14ac:dyDescent="0.3">
      <c r="C244" s="267"/>
      <c r="D244" s="267"/>
      <c r="E244" s="267"/>
      <c r="F244" s="267"/>
      <c r="G244" s="267"/>
      <c r="H244" s="267"/>
      <c r="J244" s="267"/>
      <c r="K244" s="267"/>
    </row>
    <row r="245" spans="3:11" s="6" customFormat="1" ht="13.8" x14ac:dyDescent="0.3">
      <c r="C245" s="267"/>
      <c r="D245" s="267"/>
      <c r="E245" s="267"/>
      <c r="F245" s="267"/>
      <c r="G245" s="267"/>
      <c r="H245" s="267"/>
      <c r="J245" s="267"/>
      <c r="K245" s="267"/>
    </row>
    <row r="246" spans="3:11" s="6" customFormat="1" ht="13.8" x14ac:dyDescent="0.3">
      <c r="C246" s="267"/>
      <c r="D246" s="267"/>
      <c r="E246" s="267"/>
      <c r="F246" s="267"/>
      <c r="G246" s="267"/>
      <c r="H246" s="267"/>
      <c r="J246" s="267"/>
      <c r="K246" s="267"/>
    </row>
    <row r="247" spans="3:11" s="6" customFormat="1" ht="13.8" x14ac:dyDescent="0.3">
      <c r="C247" s="267"/>
      <c r="D247" s="267"/>
      <c r="E247" s="267"/>
      <c r="F247" s="267"/>
      <c r="G247" s="267"/>
      <c r="H247" s="267"/>
      <c r="J247" s="267"/>
      <c r="K247" s="267"/>
    </row>
    <row r="248" spans="3:11" s="6" customFormat="1" ht="13.8" x14ac:dyDescent="0.3">
      <c r="C248" s="267"/>
      <c r="D248" s="267"/>
      <c r="E248" s="267"/>
      <c r="F248" s="267"/>
      <c r="G248" s="267"/>
      <c r="H248" s="267"/>
      <c r="J248" s="267"/>
      <c r="K248" s="267"/>
    </row>
    <row r="249" spans="3:11" s="6" customFormat="1" ht="13.8" x14ac:dyDescent="0.3">
      <c r="C249" s="267"/>
      <c r="D249" s="267"/>
      <c r="E249" s="267"/>
      <c r="F249" s="267"/>
      <c r="G249" s="267"/>
      <c r="H249" s="267"/>
      <c r="J249" s="267"/>
      <c r="K249" s="267"/>
    </row>
    <row r="250" spans="3:11" s="6" customFormat="1" ht="13.8" x14ac:dyDescent="0.3">
      <c r="C250" s="267"/>
      <c r="D250" s="267"/>
      <c r="E250" s="267"/>
      <c r="F250" s="267"/>
      <c r="G250" s="267"/>
      <c r="H250" s="267"/>
      <c r="J250" s="267"/>
      <c r="K250" s="267"/>
    </row>
    <row r="251" spans="3:11" s="6" customFormat="1" ht="13.8" x14ac:dyDescent="0.3">
      <c r="C251" s="267"/>
      <c r="D251" s="267"/>
      <c r="E251" s="267"/>
      <c r="F251" s="267"/>
      <c r="G251" s="267"/>
      <c r="H251" s="267"/>
      <c r="J251" s="267"/>
      <c r="K251" s="267"/>
    </row>
    <row r="252" spans="3:11" s="6" customFormat="1" ht="13.8" x14ac:dyDescent="0.3">
      <c r="C252" s="267"/>
      <c r="D252" s="267"/>
      <c r="E252" s="267"/>
      <c r="F252" s="267"/>
      <c r="G252" s="267"/>
      <c r="H252" s="267"/>
      <c r="J252" s="267"/>
      <c r="K252" s="267"/>
    </row>
    <row r="253" spans="3:11" s="6" customFormat="1" ht="13.8" x14ac:dyDescent="0.3">
      <c r="C253" s="267"/>
      <c r="D253" s="267"/>
      <c r="E253" s="267"/>
      <c r="F253" s="267"/>
      <c r="G253" s="267"/>
      <c r="H253" s="267"/>
      <c r="J253" s="267"/>
      <c r="K253" s="267"/>
    </row>
    <row r="254" spans="3:11" s="6" customFormat="1" ht="13.8" x14ac:dyDescent="0.3">
      <c r="C254" s="267"/>
      <c r="D254" s="267"/>
      <c r="E254" s="267"/>
      <c r="F254" s="267"/>
      <c r="G254" s="267"/>
      <c r="H254" s="267"/>
      <c r="J254" s="267"/>
      <c r="K254" s="267"/>
    </row>
    <row r="255" spans="3:11" s="6" customFormat="1" ht="13.8" x14ac:dyDescent="0.3">
      <c r="C255" s="267"/>
      <c r="D255" s="267"/>
      <c r="E255" s="267"/>
      <c r="F255" s="267"/>
      <c r="G255" s="267"/>
      <c r="H255" s="267"/>
      <c r="J255" s="267"/>
      <c r="K255" s="267"/>
    </row>
    <row r="256" spans="3:11" s="6" customFormat="1" ht="13.8" x14ac:dyDescent="0.3">
      <c r="C256" s="267"/>
      <c r="D256" s="267"/>
      <c r="E256" s="267"/>
      <c r="F256" s="267"/>
      <c r="G256" s="267"/>
      <c r="H256" s="267"/>
      <c r="J256" s="267"/>
      <c r="K256" s="267"/>
    </row>
    <row r="257" spans="3:11" s="6" customFormat="1" ht="13.8" x14ac:dyDescent="0.3">
      <c r="C257" s="267"/>
      <c r="D257" s="267"/>
      <c r="E257" s="267"/>
      <c r="F257" s="267"/>
      <c r="G257" s="267"/>
      <c r="H257" s="267"/>
      <c r="J257" s="267"/>
      <c r="K257" s="267"/>
    </row>
    <row r="258" spans="3:11" s="6" customFormat="1" ht="13.8" x14ac:dyDescent="0.3">
      <c r="C258" s="267"/>
      <c r="D258" s="267"/>
      <c r="E258" s="267"/>
      <c r="F258" s="267"/>
      <c r="G258" s="267"/>
      <c r="H258" s="267"/>
      <c r="J258" s="267"/>
      <c r="K258" s="267"/>
    </row>
    <row r="259" spans="3:11" s="6" customFormat="1" ht="13.8" x14ac:dyDescent="0.3">
      <c r="C259" s="267"/>
      <c r="D259" s="267"/>
      <c r="E259" s="267"/>
      <c r="F259" s="267"/>
      <c r="G259" s="267"/>
      <c r="H259" s="267"/>
      <c r="J259" s="267"/>
      <c r="K259" s="267"/>
    </row>
    <row r="260" spans="3:11" s="6" customFormat="1" ht="13.8" x14ac:dyDescent="0.3">
      <c r="C260" s="267"/>
      <c r="D260" s="267"/>
      <c r="E260" s="267"/>
      <c r="F260" s="267"/>
      <c r="G260" s="267"/>
      <c r="H260" s="267"/>
      <c r="J260" s="267"/>
      <c r="K260" s="267"/>
    </row>
    <row r="261" spans="3:11" s="6" customFormat="1" ht="13.8" x14ac:dyDescent="0.3">
      <c r="C261" s="267"/>
      <c r="D261" s="267"/>
      <c r="E261" s="267"/>
      <c r="F261" s="267"/>
      <c r="G261" s="267"/>
      <c r="H261" s="267"/>
      <c r="J261" s="267"/>
      <c r="K261" s="267"/>
    </row>
    <row r="262" spans="3:11" s="6" customFormat="1" ht="13.8" x14ac:dyDescent="0.3">
      <c r="C262" s="267"/>
      <c r="D262" s="267"/>
      <c r="E262" s="267"/>
      <c r="F262" s="267"/>
      <c r="G262" s="267"/>
      <c r="H262" s="267"/>
      <c r="J262" s="267"/>
      <c r="K262" s="267"/>
    </row>
    <row r="263" spans="3:11" s="6" customFormat="1" ht="13.8" x14ac:dyDescent="0.3">
      <c r="C263" s="267"/>
      <c r="D263" s="267"/>
      <c r="E263" s="267"/>
      <c r="F263" s="267"/>
      <c r="G263" s="267"/>
      <c r="H263" s="267"/>
      <c r="J263" s="267"/>
      <c r="K263" s="267"/>
    </row>
    <row r="264" spans="3:11" s="6" customFormat="1" ht="13.8" x14ac:dyDescent="0.3">
      <c r="C264" s="267"/>
      <c r="D264" s="267"/>
      <c r="E264" s="267"/>
      <c r="F264" s="267"/>
      <c r="G264" s="267"/>
      <c r="H264" s="267"/>
      <c r="J264" s="267"/>
      <c r="K264" s="267"/>
    </row>
    <row r="265" spans="3:11" s="6" customFormat="1" ht="13.8" x14ac:dyDescent="0.3">
      <c r="C265" s="267"/>
      <c r="D265" s="267"/>
      <c r="E265" s="267"/>
      <c r="F265" s="267"/>
      <c r="G265" s="267"/>
      <c r="H265" s="267"/>
      <c r="J265" s="267"/>
      <c r="K265" s="267"/>
    </row>
    <row r="266" spans="3:11" s="6" customFormat="1" ht="13.8" x14ac:dyDescent="0.3">
      <c r="C266" s="267"/>
      <c r="D266" s="267"/>
      <c r="E266" s="267"/>
      <c r="F266" s="267"/>
      <c r="G266" s="267"/>
      <c r="H266" s="267"/>
      <c r="J266" s="267"/>
      <c r="K266" s="267"/>
    </row>
    <row r="267" spans="3:11" s="6" customFormat="1" ht="13.8" x14ac:dyDescent="0.3">
      <c r="C267" s="267"/>
      <c r="D267" s="267"/>
      <c r="E267" s="267"/>
      <c r="F267" s="267"/>
      <c r="G267" s="267"/>
      <c r="H267" s="267"/>
      <c r="J267" s="267"/>
      <c r="K267" s="267"/>
    </row>
    <row r="268" spans="3:11" s="6" customFormat="1" ht="13.8" x14ac:dyDescent="0.3">
      <c r="C268" s="267"/>
      <c r="D268" s="267"/>
      <c r="E268" s="267"/>
      <c r="F268" s="267"/>
      <c r="G268" s="267"/>
      <c r="H268" s="267"/>
      <c r="J268" s="267"/>
      <c r="K268" s="267"/>
    </row>
    <row r="269" spans="3:11" s="6" customFormat="1" ht="13.8" x14ac:dyDescent="0.3">
      <c r="C269" s="267"/>
      <c r="D269" s="267"/>
      <c r="E269" s="267"/>
      <c r="F269" s="267"/>
      <c r="G269" s="267"/>
      <c r="H269" s="267"/>
      <c r="J269" s="267"/>
      <c r="K269" s="267"/>
    </row>
    <row r="270" spans="3:11" s="6" customFormat="1" ht="13.8" x14ac:dyDescent="0.3">
      <c r="C270" s="267"/>
      <c r="D270" s="267"/>
      <c r="E270" s="267"/>
      <c r="F270" s="267"/>
      <c r="G270" s="267"/>
      <c r="H270" s="267"/>
      <c r="J270" s="267"/>
      <c r="K270" s="267"/>
    </row>
    <row r="271" spans="3:11" s="6" customFormat="1" ht="13.8" x14ac:dyDescent="0.3">
      <c r="C271" s="267"/>
      <c r="D271" s="267"/>
      <c r="E271" s="267"/>
      <c r="F271" s="267"/>
      <c r="G271" s="267"/>
      <c r="H271" s="267"/>
      <c r="J271" s="267"/>
      <c r="K271" s="267"/>
    </row>
    <row r="272" spans="3:11" s="6" customFormat="1" ht="13.8" x14ac:dyDescent="0.3">
      <c r="C272" s="267"/>
      <c r="D272" s="267"/>
      <c r="E272" s="267"/>
      <c r="F272" s="267"/>
      <c r="G272" s="267"/>
      <c r="H272" s="267"/>
      <c r="J272" s="267"/>
      <c r="K272" s="267"/>
    </row>
    <row r="273" spans="3:11" s="6" customFormat="1" ht="13.8" x14ac:dyDescent="0.3">
      <c r="C273" s="267"/>
      <c r="D273" s="267"/>
      <c r="E273" s="267"/>
      <c r="F273" s="267"/>
      <c r="G273" s="267"/>
      <c r="H273" s="267"/>
      <c r="J273" s="267"/>
      <c r="K273" s="267"/>
    </row>
    <row r="274" spans="3:11" s="6" customFormat="1" ht="13.8" x14ac:dyDescent="0.3">
      <c r="C274" s="267"/>
      <c r="D274" s="267"/>
      <c r="E274" s="267"/>
      <c r="F274" s="267"/>
      <c r="G274" s="267"/>
      <c r="H274" s="267"/>
      <c r="J274" s="267"/>
      <c r="K274" s="267"/>
    </row>
    <row r="275" spans="3:11" s="6" customFormat="1" ht="13.8" x14ac:dyDescent="0.3">
      <c r="C275" s="267"/>
      <c r="D275" s="267"/>
      <c r="E275" s="267"/>
      <c r="F275" s="267"/>
      <c r="G275" s="267"/>
      <c r="H275" s="267"/>
      <c r="J275" s="267"/>
      <c r="K275" s="267"/>
    </row>
    <row r="276" spans="3:11" s="6" customFormat="1" ht="13.8" x14ac:dyDescent="0.3">
      <c r="C276" s="267"/>
      <c r="D276" s="267"/>
      <c r="E276" s="267"/>
      <c r="F276" s="267"/>
      <c r="G276" s="267"/>
      <c r="H276" s="267"/>
      <c r="J276" s="267"/>
      <c r="K276" s="267"/>
    </row>
    <row r="277" spans="3:11" s="6" customFormat="1" ht="13.8" x14ac:dyDescent="0.3">
      <c r="C277" s="267"/>
      <c r="D277" s="267"/>
      <c r="E277" s="267"/>
      <c r="F277" s="267"/>
      <c r="G277" s="267"/>
      <c r="H277" s="267"/>
      <c r="J277" s="267"/>
      <c r="K277" s="267"/>
    </row>
    <row r="278" spans="3:11" s="6" customFormat="1" ht="13.8" x14ac:dyDescent="0.3">
      <c r="C278" s="267"/>
      <c r="D278" s="267"/>
      <c r="E278" s="267"/>
      <c r="F278" s="267"/>
      <c r="G278" s="267"/>
      <c r="H278" s="267"/>
      <c r="J278" s="267"/>
      <c r="K278" s="267"/>
    </row>
    <row r="279" spans="3:11" s="6" customFormat="1" ht="13.8" x14ac:dyDescent="0.3">
      <c r="C279" s="267"/>
      <c r="D279" s="267"/>
      <c r="E279" s="267"/>
      <c r="F279" s="267"/>
      <c r="G279" s="267"/>
      <c r="H279" s="267"/>
      <c r="J279" s="267"/>
      <c r="K279" s="267"/>
    </row>
    <row r="280" spans="3:11" s="6" customFormat="1" ht="13.8" x14ac:dyDescent="0.3">
      <c r="C280" s="267"/>
      <c r="D280" s="267"/>
      <c r="E280" s="267"/>
      <c r="F280" s="267"/>
      <c r="G280" s="267"/>
      <c r="H280" s="267"/>
      <c r="J280" s="267"/>
      <c r="K280" s="267"/>
    </row>
    <row r="281" spans="3:11" s="6" customFormat="1" ht="13.8" x14ac:dyDescent="0.3">
      <c r="C281" s="267"/>
      <c r="D281" s="267"/>
      <c r="E281" s="267"/>
      <c r="F281" s="267"/>
      <c r="G281" s="267"/>
      <c r="H281" s="267"/>
      <c r="J281" s="267"/>
      <c r="K281" s="267"/>
    </row>
    <row r="282" spans="3:11" s="6" customFormat="1" ht="13.8" x14ac:dyDescent="0.3">
      <c r="C282" s="267"/>
      <c r="D282" s="267"/>
      <c r="E282" s="267"/>
      <c r="F282" s="267"/>
      <c r="G282" s="267"/>
      <c r="H282" s="267"/>
      <c r="J282" s="267"/>
      <c r="K282" s="267"/>
    </row>
    <row r="283" spans="3:11" s="6" customFormat="1" ht="13.8" x14ac:dyDescent="0.3">
      <c r="C283" s="267"/>
      <c r="D283" s="267"/>
      <c r="E283" s="267"/>
      <c r="F283" s="267"/>
      <c r="G283" s="267"/>
      <c r="H283" s="267"/>
      <c r="J283" s="267"/>
      <c r="K283" s="267"/>
    </row>
    <row r="284" spans="3:11" s="6" customFormat="1" ht="13.8" x14ac:dyDescent="0.3">
      <c r="C284" s="267"/>
      <c r="D284" s="267"/>
      <c r="E284" s="267"/>
      <c r="F284" s="267"/>
      <c r="G284" s="267"/>
      <c r="H284" s="267"/>
      <c r="J284" s="267"/>
      <c r="K284" s="267"/>
    </row>
    <row r="285" spans="3:11" s="6" customFormat="1" ht="13.8" x14ac:dyDescent="0.3">
      <c r="C285" s="267"/>
      <c r="D285" s="267"/>
      <c r="E285" s="267"/>
      <c r="F285" s="267"/>
      <c r="G285" s="267"/>
      <c r="H285" s="267"/>
      <c r="J285" s="267"/>
      <c r="K285" s="267"/>
    </row>
    <row r="286" spans="3:11" s="6" customFormat="1" ht="13.8" x14ac:dyDescent="0.3">
      <c r="C286" s="267"/>
      <c r="D286" s="267"/>
      <c r="E286" s="267"/>
      <c r="F286" s="267"/>
      <c r="G286" s="267"/>
      <c r="H286" s="267"/>
      <c r="J286" s="267"/>
      <c r="K286" s="267"/>
    </row>
    <row r="287" spans="3:11" s="6" customFormat="1" ht="13.8" x14ac:dyDescent="0.3">
      <c r="C287" s="267"/>
      <c r="D287" s="267"/>
      <c r="E287" s="267"/>
      <c r="F287" s="267"/>
      <c r="G287" s="267"/>
      <c r="H287" s="267"/>
      <c r="J287" s="267"/>
      <c r="K287" s="267"/>
    </row>
    <row r="288" spans="3:11" s="6" customFormat="1" ht="13.8" x14ac:dyDescent="0.3">
      <c r="C288" s="267"/>
      <c r="D288" s="267"/>
      <c r="E288" s="267"/>
      <c r="F288" s="267"/>
      <c r="G288" s="267"/>
      <c r="H288" s="267"/>
      <c r="J288" s="267"/>
      <c r="K288" s="267"/>
    </row>
    <row r="289" spans="3:11" s="6" customFormat="1" ht="13.8" x14ac:dyDescent="0.3">
      <c r="C289" s="267"/>
      <c r="D289" s="267"/>
      <c r="E289" s="267"/>
      <c r="F289" s="267"/>
      <c r="G289" s="267"/>
      <c r="H289" s="267"/>
      <c r="J289" s="267"/>
      <c r="K289" s="267"/>
    </row>
    <row r="290" spans="3:11" s="6" customFormat="1" ht="13.8" x14ac:dyDescent="0.3">
      <c r="C290" s="267"/>
      <c r="D290" s="267"/>
      <c r="E290" s="267"/>
      <c r="F290" s="267"/>
      <c r="G290" s="267"/>
      <c r="H290" s="267"/>
      <c r="J290" s="267"/>
      <c r="K290" s="267"/>
    </row>
    <row r="291" spans="3:11" s="6" customFormat="1" ht="13.8" x14ac:dyDescent="0.3">
      <c r="C291" s="267"/>
      <c r="D291" s="267"/>
      <c r="E291" s="267"/>
      <c r="F291" s="267"/>
      <c r="G291" s="267"/>
      <c r="H291" s="267"/>
      <c r="J291" s="267"/>
      <c r="K291" s="267"/>
    </row>
    <row r="292" spans="3:11" s="6" customFormat="1" ht="13.8" x14ac:dyDescent="0.3">
      <c r="C292" s="267"/>
      <c r="D292" s="267"/>
      <c r="E292" s="267"/>
      <c r="F292" s="267"/>
      <c r="G292" s="267"/>
      <c r="H292" s="267"/>
      <c r="J292" s="267"/>
      <c r="K292" s="267"/>
    </row>
    <row r="293" spans="3:11" s="6" customFormat="1" ht="13.8" x14ac:dyDescent="0.3">
      <c r="C293" s="267"/>
      <c r="D293" s="267"/>
      <c r="E293" s="267"/>
      <c r="F293" s="267"/>
      <c r="G293" s="267"/>
      <c r="H293" s="267"/>
      <c r="J293" s="267"/>
      <c r="K293" s="267"/>
    </row>
    <row r="294" spans="3:11" s="6" customFormat="1" ht="13.8" x14ac:dyDescent="0.3">
      <c r="C294" s="267"/>
      <c r="D294" s="267"/>
      <c r="E294" s="267"/>
      <c r="F294" s="267"/>
      <c r="G294" s="267"/>
      <c r="H294" s="267"/>
      <c r="J294" s="267"/>
      <c r="K294" s="267"/>
    </row>
    <row r="295" spans="3:11" s="6" customFormat="1" ht="13.8" x14ac:dyDescent="0.3">
      <c r="C295" s="267"/>
      <c r="D295" s="267"/>
      <c r="E295" s="267"/>
      <c r="F295" s="267"/>
      <c r="G295" s="267"/>
      <c r="H295" s="267"/>
      <c r="J295" s="267"/>
      <c r="K295" s="267"/>
    </row>
    <row r="296" spans="3:11" s="6" customFormat="1" ht="13.8" x14ac:dyDescent="0.3">
      <c r="C296" s="267"/>
      <c r="D296" s="267"/>
      <c r="E296" s="267"/>
      <c r="F296" s="267"/>
      <c r="G296" s="267"/>
      <c r="H296" s="267"/>
      <c r="J296" s="267"/>
      <c r="K296" s="267"/>
    </row>
    <row r="297" spans="3:11" s="6" customFormat="1" ht="13.8" x14ac:dyDescent="0.3">
      <c r="C297" s="267"/>
      <c r="D297" s="267"/>
      <c r="E297" s="267"/>
      <c r="F297" s="267"/>
      <c r="G297" s="267"/>
      <c r="H297" s="267"/>
      <c r="J297" s="267"/>
      <c r="K297" s="267"/>
    </row>
    <row r="298" spans="3:11" s="6" customFormat="1" ht="13.8" x14ac:dyDescent="0.3">
      <c r="C298" s="267"/>
      <c r="D298" s="267"/>
      <c r="E298" s="267"/>
      <c r="F298" s="267"/>
      <c r="G298" s="267"/>
      <c r="H298" s="267"/>
      <c r="J298" s="267"/>
      <c r="K298" s="267"/>
    </row>
    <row r="299" spans="3:11" s="6" customFormat="1" ht="13.8" x14ac:dyDescent="0.3">
      <c r="C299" s="267"/>
      <c r="D299" s="267"/>
      <c r="E299" s="267"/>
      <c r="F299" s="267"/>
      <c r="G299" s="267"/>
      <c r="H299" s="267"/>
      <c r="J299" s="267"/>
      <c r="K299" s="267"/>
    </row>
    <row r="300" spans="3:11" s="6" customFormat="1" ht="13.8" x14ac:dyDescent="0.3">
      <c r="C300" s="267"/>
      <c r="D300" s="267"/>
      <c r="E300" s="267"/>
      <c r="F300" s="267"/>
      <c r="G300" s="267"/>
      <c r="H300" s="267"/>
      <c r="J300" s="267"/>
      <c r="K300" s="267"/>
    </row>
    <row r="301" spans="3:11" s="6" customFormat="1" ht="13.8" x14ac:dyDescent="0.3">
      <c r="C301" s="267"/>
      <c r="D301" s="267"/>
      <c r="E301" s="267"/>
      <c r="F301" s="267"/>
      <c r="G301" s="267"/>
      <c r="H301" s="267"/>
      <c r="J301" s="267"/>
      <c r="K301" s="267"/>
    </row>
    <row r="302" spans="3:11" s="6" customFormat="1" ht="13.8" x14ac:dyDescent="0.3">
      <c r="C302" s="267"/>
      <c r="D302" s="267"/>
      <c r="E302" s="267"/>
      <c r="F302" s="267"/>
      <c r="G302" s="267"/>
      <c r="H302" s="267"/>
      <c r="J302" s="267"/>
      <c r="K302" s="267"/>
    </row>
    <row r="303" spans="3:11" s="6" customFormat="1" ht="13.8" x14ac:dyDescent="0.3">
      <c r="C303" s="267"/>
      <c r="D303" s="267"/>
      <c r="E303" s="267"/>
      <c r="F303" s="267"/>
      <c r="G303" s="267"/>
      <c r="H303" s="267"/>
      <c r="J303" s="267"/>
      <c r="K303" s="267"/>
    </row>
    <row r="304" spans="3:11" s="6" customFormat="1" ht="13.8" x14ac:dyDescent="0.3">
      <c r="C304" s="267"/>
      <c r="D304" s="267"/>
      <c r="E304" s="267"/>
      <c r="F304" s="267"/>
      <c r="G304" s="267"/>
      <c r="H304" s="267"/>
      <c r="J304" s="267"/>
      <c r="K304" s="267"/>
    </row>
    <row r="305" spans="3:11" s="6" customFormat="1" ht="13.8" x14ac:dyDescent="0.3">
      <c r="C305" s="267"/>
      <c r="D305" s="267"/>
      <c r="E305" s="267"/>
      <c r="F305" s="267"/>
      <c r="G305" s="267"/>
      <c r="H305" s="267"/>
      <c r="J305" s="267"/>
      <c r="K305" s="267"/>
    </row>
    <row r="306" spans="3:11" s="6" customFormat="1" ht="13.8" x14ac:dyDescent="0.3">
      <c r="C306" s="267"/>
      <c r="D306" s="267"/>
      <c r="E306" s="267"/>
      <c r="F306" s="267"/>
      <c r="G306" s="267"/>
      <c r="H306" s="267"/>
      <c r="J306" s="267"/>
      <c r="K306" s="267"/>
    </row>
    <row r="307" spans="3:11" s="6" customFormat="1" ht="13.8" x14ac:dyDescent="0.3">
      <c r="C307" s="267"/>
      <c r="D307" s="267"/>
      <c r="E307" s="267"/>
      <c r="F307" s="267"/>
      <c r="G307" s="267"/>
      <c r="H307" s="267"/>
      <c r="J307" s="267"/>
      <c r="K307" s="267"/>
    </row>
    <row r="308" spans="3:11" s="6" customFormat="1" ht="13.8" x14ac:dyDescent="0.3">
      <c r="C308" s="267"/>
      <c r="D308" s="267"/>
      <c r="E308" s="267"/>
      <c r="F308" s="267"/>
      <c r="G308" s="267"/>
      <c r="H308" s="267"/>
      <c r="J308" s="267"/>
      <c r="K308" s="267"/>
    </row>
    <row r="309" spans="3:11" s="6" customFormat="1" ht="13.8" x14ac:dyDescent="0.3">
      <c r="C309" s="267"/>
      <c r="D309" s="267"/>
      <c r="E309" s="267"/>
      <c r="F309" s="267"/>
      <c r="G309" s="267"/>
      <c r="H309" s="267"/>
      <c r="J309" s="267"/>
      <c r="K309" s="267"/>
    </row>
    <row r="310" spans="3:11" s="6" customFormat="1" ht="13.8" x14ac:dyDescent="0.3">
      <c r="C310" s="267"/>
      <c r="D310" s="267"/>
      <c r="E310" s="267"/>
      <c r="F310" s="267"/>
      <c r="G310" s="267"/>
      <c r="H310" s="267"/>
      <c r="J310" s="267"/>
      <c r="K310" s="267"/>
    </row>
    <row r="311" spans="3:11" s="6" customFormat="1" ht="13.8" x14ac:dyDescent="0.3">
      <c r="C311" s="267"/>
      <c r="D311" s="267"/>
      <c r="E311" s="267"/>
      <c r="F311" s="267"/>
      <c r="G311" s="267"/>
      <c r="H311" s="267"/>
      <c r="J311" s="267"/>
      <c r="K311" s="267"/>
    </row>
    <row r="312" spans="3:11" s="6" customFormat="1" ht="13.8" x14ac:dyDescent="0.3">
      <c r="C312" s="267"/>
      <c r="D312" s="267"/>
      <c r="E312" s="267"/>
      <c r="F312" s="267"/>
      <c r="G312" s="267"/>
      <c r="H312" s="267"/>
      <c r="J312" s="267"/>
      <c r="K312" s="267"/>
    </row>
    <row r="313" spans="3:11" s="6" customFormat="1" ht="13.8" x14ac:dyDescent="0.3">
      <c r="C313" s="267"/>
      <c r="D313" s="267"/>
      <c r="E313" s="267"/>
      <c r="F313" s="267"/>
      <c r="G313" s="267"/>
      <c r="H313" s="267"/>
      <c r="J313" s="267"/>
      <c r="K313" s="267"/>
    </row>
    <row r="314" spans="3:11" s="6" customFormat="1" ht="13.8" x14ac:dyDescent="0.3">
      <c r="C314" s="267"/>
      <c r="D314" s="267"/>
      <c r="E314" s="267"/>
      <c r="F314" s="267"/>
      <c r="G314" s="267"/>
      <c r="H314" s="267"/>
      <c r="J314" s="267"/>
      <c r="K314" s="267"/>
    </row>
    <row r="315" spans="3:11" s="6" customFormat="1" ht="13.8" x14ac:dyDescent="0.3">
      <c r="C315" s="267"/>
      <c r="D315" s="267"/>
      <c r="E315" s="267"/>
      <c r="F315" s="267"/>
      <c r="G315" s="267"/>
      <c r="H315" s="267"/>
      <c r="J315" s="267"/>
      <c r="K315" s="267"/>
    </row>
    <row r="316" spans="3:11" s="6" customFormat="1" ht="13.8" x14ac:dyDescent="0.3">
      <c r="C316" s="267"/>
      <c r="D316" s="267"/>
      <c r="E316" s="267"/>
      <c r="F316" s="267"/>
      <c r="G316" s="267"/>
      <c r="H316" s="267"/>
      <c r="J316" s="267"/>
      <c r="K316" s="267"/>
    </row>
    <row r="317" spans="3:11" s="6" customFormat="1" ht="13.8" x14ac:dyDescent="0.3">
      <c r="C317" s="267"/>
      <c r="D317" s="267"/>
      <c r="E317" s="267"/>
      <c r="F317" s="267"/>
      <c r="G317" s="267"/>
      <c r="H317" s="267"/>
      <c r="J317" s="267"/>
      <c r="K317" s="267"/>
    </row>
    <row r="318" spans="3:11" s="6" customFormat="1" ht="13.8" x14ac:dyDescent="0.3">
      <c r="C318" s="267"/>
      <c r="D318" s="267"/>
      <c r="E318" s="267"/>
      <c r="F318" s="267"/>
      <c r="G318" s="267"/>
      <c r="H318" s="267"/>
      <c r="J318" s="267"/>
      <c r="K318" s="267"/>
    </row>
    <row r="319" spans="3:11" s="6" customFormat="1" ht="13.8" x14ac:dyDescent="0.3">
      <c r="C319" s="267"/>
      <c r="D319" s="267"/>
      <c r="E319" s="267"/>
      <c r="F319" s="267"/>
      <c r="G319" s="267"/>
      <c r="H319" s="267"/>
      <c r="J319" s="267"/>
      <c r="K319" s="267"/>
    </row>
    <row r="320" spans="3:11" s="6" customFormat="1" ht="13.8" x14ac:dyDescent="0.3">
      <c r="C320" s="267"/>
      <c r="D320" s="267"/>
      <c r="E320" s="267"/>
      <c r="F320" s="267"/>
      <c r="G320" s="267"/>
      <c r="H320" s="267"/>
      <c r="J320" s="267"/>
      <c r="K320" s="267"/>
    </row>
    <row r="321" spans="3:11" s="6" customFormat="1" ht="13.8" x14ac:dyDescent="0.3">
      <c r="C321" s="267"/>
      <c r="D321" s="267"/>
      <c r="E321" s="267"/>
      <c r="F321" s="267"/>
      <c r="G321" s="267"/>
      <c r="H321" s="267"/>
      <c r="J321" s="267"/>
      <c r="K321" s="267"/>
    </row>
    <row r="322" spans="3:11" s="6" customFormat="1" ht="13.8" x14ac:dyDescent="0.3">
      <c r="C322" s="267"/>
      <c r="D322" s="267"/>
      <c r="E322" s="267"/>
      <c r="F322" s="267"/>
      <c r="G322" s="267"/>
      <c r="H322" s="267"/>
      <c r="J322" s="267"/>
      <c r="K322" s="267"/>
    </row>
    <row r="323" spans="3:11" s="6" customFormat="1" ht="13.8" x14ac:dyDescent="0.3">
      <c r="C323" s="267"/>
      <c r="D323" s="267"/>
      <c r="E323" s="267"/>
      <c r="F323" s="267"/>
      <c r="G323" s="267"/>
      <c r="H323" s="267"/>
      <c r="J323" s="267"/>
      <c r="K323" s="267"/>
    </row>
    <row r="324" spans="3:11" s="6" customFormat="1" ht="13.8" x14ac:dyDescent="0.3">
      <c r="C324" s="267"/>
      <c r="D324" s="267"/>
      <c r="E324" s="267"/>
      <c r="F324" s="267"/>
      <c r="G324" s="267"/>
      <c r="H324" s="267"/>
      <c r="J324" s="267"/>
      <c r="K324" s="267"/>
    </row>
    <row r="325" spans="3:11" s="6" customFormat="1" ht="13.8" x14ac:dyDescent="0.3">
      <c r="C325" s="267"/>
      <c r="D325" s="267"/>
      <c r="E325" s="267"/>
      <c r="F325" s="267"/>
      <c r="G325" s="267"/>
      <c r="H325" s="267"/>
      <c r="J325" s="267"/>
      <c r="K325" s="267"/>
    </row>
    <row r="326" spans="3:11" s="6" customFormat="1" ht="13.8" x14ac:dyDescent="0.3">
      <c r="C326" s="267"/>
      <c r="D326" s="267"/>
      <c r="E326" s="267"/>
      <c r="F326" s="267"/>
      <c r="G326" s="267"/>
      <c r="H326" s="267"/>
      <c r="J326" s="267"/>
      <c r="K326" s="267"/>
    </row>
    <row r="327" spans="3:11" s="6" customFormat="1" ht="13.8" x14ac:dyDescent="0.3">
      <c r="C327" s="267"/>
      <c r="D327" s="267"/>
      <c r="E327" s="267"/>
      <c r="F327" s="267"/>
      <c r="G327" s="267"/>
      <c r="H327" s="267"/>
      <c r="J327" s="267"/>
      <c r="K327" s="267"/>
    </row>
    <row r="328" spans="3:11" s="6" customFormat="1" ht="13.8" x14ac:dyDescent="0.3">
      <c r="C328" s="267"/>
      <c r="D328" s="267"/>
      <c r="E328" s="267"/>
      <c r="F328" s="267"/>
      <c r="G328" s="267"/>
      <c r="H328" s="267"/>
      <c r="J328" s="267"/>
      <c r="K328" s="267"/>
    </row>
    <row r="329" spans="3:11" s="6" customFormat="1" ht="13.8" x14ac:dyDescent="0.3">
      <c r="C329" s="267"/>
      <c r="D329" s="267"/>
      <c r="E329" s="267"/>
      <c r="F329" s="267"/>
      <c r="G329" s="267"/>
      <c r="H329" s="267"/>
      <c r="J329" s="267"/>
      <c r="K329" s="267"/>
    </row>
    <row r="330" spans="3:11" s="6" customFormat="1" ht="13.8" x14ac:dyDescent="0.3">
      <c r="C330" s="267"/>
      <c r="D330" s="267"/>
      <c r="E330" s="267"/>
      <c r="F330" s="267"/>
      <c r="G330" s="267"/>
      <c r="H330" s="267"/>
      <c r="J330" s="267"/>
      <c r="K330" s="267"/>
    </row>
    <row r="331" spans="3:11" s="6" customFormat="1" ht="13.8" x14ac:dyDescent="0.3">
      <c r="C331" s="267"/>
      <c r="D331" s="267"/>
      <c r="E331" s="267"/>
      <c r="F331" s="267"/>
      <c r="G331" s="267"/>
      <c r="H331" s="267"/>
      <c r="J331" s="267"/>
      <c r="K331" s="267"/>
    </row>
    <row r="332" spans="3:11" s="6" customFormat="1" ht="13.8" x14ac:dyDescent="0.3">
      <c r="C332" s="267"/>
      <c r="D332" s="267"/>
      <c r="E332" s="267"/>
      <c r="F332" s="267"/>
      <c r="G332" s="267"/>
      <c r="H332" s="267"/>
      <c r="J332" s="267"/>
      <c r="K332" s="267"/>
    </row>
    <row r="333" spans="3:11" s="6" customFormat="1" ht="13.8" x14ac:dyDescent="0.3">
      <c r="C333" s="267"/>
      <c r="D333" s="267"/>
      <c r="E333" s="267"/>
      <c r="F333" s="267"/>
      <c r="G333" s="267"/>
      <c r="H333" s="267"/>
      <c r="J333" s="267"/>
      <c r="K333" s="267"/>
    </row>
    <row r="334" spans="3:11" s="6" customFormat="1" ht="13.8" x14ac:dyDescent="0.3">
      <c r="C334" s="267"/>
      <c r="D334" s="267"/>
      <c r="E334" s="267"/>
      <c r="F334" s="267"/>
      <c r="G334" s="267"/>
      <c r="H334" s="267"/>
      <c r="J334" s="267"/>
      <c r="K334" s="267"/>
    </row>
    <row r="335" spans="3:11" s="6" customFormat="1" ht="13.8" x14ac:dyDescent="0.3">
      <c r="C335" s="267"/>
      <c r="D335" s="267"/>
      <c r="E335" s="267"/>
      <c r="F335" s="267"/>
      <c r="G335" s="267"/>
      <c r="H335" s="267"/>
      <c r="J335" s="267"/>
      <c r="K335" s="267"/>
    </row>
    <row r="336" spans="3:11" s="6" customFormat="1" ht="13.8" x14ac:dyDescent="0.3">
      <c r="C336" s="267"/>
      <c r="D336" s="267"/>
      <c r="E336" s="267"/>
      <c r="F336" s="267"/>
      <c r="G336" s="267"/>
      <c r="H336" s="267"/>
      <c r="J336" s="267"/>
      <c r="K336" s="267"/>
    </row>
    <row r="337" spans="3:11" s="6" customFormat="1" ht="13.8" x14ac:dyDescent="0.3">
      <c r="C337" s="267"/>
      <c r="D337" s="267"/>
      <c r="E337" s="267"/>
      <c r="F337" s="267"/>
      <c r="G337" s="267"/>
      <c r="H337" s="267"/>
      <c r="J337" s="267"/>
      <c r="K337" s="267"/>
    </row>
    <row r="338" spans="3:11" s="6" customFormat="1" ht="13.8" x14ac:dyDescent="0.3">
      <c r="C338" s="267"/>
      <c r="D338" s="267"/>
      <c r="E338" s="267"/>
      <c r="F338" s="267"/>
      <c r="G338" s="267"/>
      <c r="H338" s="267"/>
      <c r="J338" s="267"/>
      <c r="K338" s="267"/>
    </row>
    <row r="339" spans="3:11" s="6" customFormat="1" ht="13.8" x14ac:dyDescent="0.3">
      <c r="C339" s="267"/>
      <c r="D339" s="267"/>
      <c r="E339" s="267"/>
      <c r="F339" s="267"/>
      <c r="G339" s="267"/>
      <c r="H339" s="267"/>
      <c r="J339" s="267"/>
      <c r="K339" s="267"/>
    </row>
    <row r="340" spans="3:11" s="6" customFormat="1" ht="13.8" x14ac:dyDescent="0.3">
      <c r="C340" s="267"/>
      <c r="D340" s="267"/>
      <c r="E340" s="267"/>
      <c r="F340" s="267"/>
      <c r="G340" s="267"/>
      <c r="H340" s="267"/>
      <c r="J340" s="267"/>
      <c r="K340" s="267"/>
    </row>
    <row r="341" spans="3:11" s="6" customFormat="1" ht="13.8" x14ac:dyDescent="0.3">
      <c r="C341" s="267"/>
      <c r="D341" s="267"/>
      <c r="E341" s="267"/>
      <c r="F341" s="267"/>
      <c r="G341" s="267"/>
      <c r="H341" s="267"/>
      <c r="J341" s="267"/>
      <c r="K341" s="267"/>
    </row>
    <row r="342" spans="3:11" s="6" customFormat="1" ht="13.8" x14ac:dyDescent="0.3">
      <c r="C342" s="267"/>
      <c r="D342" s="267"/>
      <c r="E342" s="267"/>
      <c r="F342" s="267"/>
      <c r="G342" s="267"/>
      <c r="H342" s="267"/>
      <c r="J342" s="267"/>
      <c r="K342" s="267"/>
    </row>
    <row r="343" spans="3:11" s="6" customFormat="1" ht="13.8" x14ac:dyDescent="0.3">
      <c r="C343" s="267"/>
      <c r="D343" s="267"/>
      <c r="E343" s="267"/>
      <c r="F343" s="267"/>
      <c r="G343" s="267"/>
      <c r="H343" s="267"/>
      <c r="J343" s="267"/>
      <c r="K343" s="267"/>
    </row>
    <row r="344" spans="3:11" s="6" customFormat="1" ht="13.8" x14ac:dyDescent="0.3">
      <c r="C344" s="267"/>
      <c r="D344" s="267"/>
      <c r="E344" s="267"/>
      <c r="F344" s="267"/>
      <c r="G344" s="267"/>
      <c r="H344" s="267"/>
      <c r="J344" s="267"/>
      <c r="K344" s="267"/>
    </row>
    <row r="345" spans="3:11" s="6" customFormat="1" ht="13.8" x14ac:dyDescent="0.3">
      <c r="C345" s="267"/>
      <c r="D345" s="267"/>
      <c r="E345" s="267"/>
      <c r="F345" s="267"/>
      <c r="G345" s="267"/>
      <c r="H345" s="267"/>
      <c r="J345" s="267"/>
      <c r="K345" s="267"/>
    </row>
    <row r="346" spans="3:11" s="6" customFormat="1" ht="13.8" x14ac:dyDescent="0.3">
      <c r="C346" s="267"/>
      <c r="D346" s="267"/>
      <c r="E346" s="267"/>
      <c r="F346" s="267"/>
      <c r="G346" s="267"/>
      <c r="H346" s="267"/>
      <c r="J346" s="267"/>
      <c r="K346" s="267"/>
    </row>
    <row r="347" spans="3:11" s="6" customFormat="1" ht="13.8" x14ac:dyDescent="0.3">
      <c r="C347" s="267"/>
      <c r="D347" s="267"/>
      <c r="E347" s="267"/>
      <c r="F347" s="267"/>
      <c r="G347" s="267"/>
      <c r="H347" s="267"/>
      <c r="J347" s="267"/>
      <c r="K347" s="267"/>
    </row>
    <row r="348" spans="3:11" s="6" customFormat="1" ht="13.8" x14ac:dyDescent="0.3">
      <c r="C348" s="267"/>
      <c r="D348" s="267"/>
      <c r="E348" s="267"/>
      <c r="F348" s="267"/>
      <c r="G348" s="267"/>
      <c r="H348" s="267"/>
      <c r="J348" s="267"/>
      <c r="K348" s="267"/>
    </row>
    <row r="349" spans="3:11" s="6" customFormat="1" ht="13.8" x14ac:dyDescent="0.3">
      <c r="C349" s="267"/>
      <c r="D349" s="267"/>
      <c r="E349" s="267"/>
      <c r="F349" s="267"/>
      <c r="G349" s="267"/>
      <c r="H349" s="267"/>
      <c r="J349" s="267"/>
      <c r="K349" s="267"/>
    </row>
    <row r="350" spans="3:11" s="6" customFormat="1" ht="13.8" x14ac:dyDescent="0.3">
      <c r="C350" s="267"/>
      <c r="D350" s="267"/>
      <c r="E350" s="267"/>
      <c r="F350" s="267"/>
      <c r="G350" s="267"/>
      <c r="H350" s="267"/>
      <c r="J350" s="267"/>
      <c r="K350" s="267"/>
    </row>
    <row r="351" spans="3:11" s="6" customFormat="1" ht="13.8" x14ac:dyDescent="0.3">
      <c r="C351" s="267"/>
      <c r="D351" s="267"/>
      <c r="E351" s="267"/>
      <c r="F351" s="267"/>
      <c r="G351" s="267"/>
      <c r="H351" s="267"/>
      <c r="J351" s="267"/>
      <c r="K351" s="267"/>
    </row>
    <row r="352" spans="3:11" s="6" customFormat="1" ht="13.8" x14ac:dyDescent="0.3">
      <c r="C352" s="267"/>
      <c r="D352" s="267"/>
      <c r="E352" s="267"/>
      <c r="F352" s="267"/>
      <c r="G352" s="267"/>
      <c r="H352" s="267"/>
      <c r="J352" s="267"/>
      <c r="K352" s="267"/>
    </row>
    <row r="353" spans="3:11" s="6" customFormat="1" ht="13.8" x14ac:dyDescent="0.3">
      <c r="C353" s="267"/>
      <c r="D353" s="267"/>
      <c r="E353" s="267"/>
      <c r="F353" s="267"/>
      <c r="G353" s="267"/>
      <c r="H353" s="267"/>
      <c r="J353" s="267"/>
      <c r="K353" s="267"/>
    </row>
    <row r="354" spans="3:11" s="6" customFormat="1" ht="13.8" x14ac:dyDescent="0.3">
      <c r="C354" s="267"/>
      <c r="D354" s="267"/>
      <c r="E354" s="267"/>
      <c r="F354" s="267"/>
      <c r="G354" s="267"/>
      <c r="H354" s="267"/>
      <c r="J354" s="267"/>
      <c r="K354" s="267"/>
    </row>
    <row r="355" spans="3:11" s="6" customFormat="1" ht="13.8" x14ac:dyDescent="0.3">
      <c r="C355" s="267"/>
      <c r="D355" s="267"/>
      <c r="E355" s="267"/>
      <c r="F355" s="267"/>
      <c r="G355" s="267"/>
      <c r="H355" s="267"/>
      <c r="J355" s="267"/>
      <c r="K355" s="267"/>
    </row>
    <row r="356" spans="3:11" s="6" customFormat="1" ht="13.8" x14ac:dyDescent="0.3">
      <c r="C356" s="267"/>
      <c r="D356" s="267"/>
      <c r="E356" s="267"/>
      <c r="F356" s="267"/>
      <c r="G356" s="267"/>
      <c r="H356" s="267"/>
      <c r="J356" s="267"/>
      <c r="K356" s="267"/>
    </row>
    <row r="357" spans="3:11" s="6" customFormat="1" ht="13.8" x14ac:dyDescent="0.3">
      <c r="C357" s="267"/>
      <c r="D357" s="267"/>
      <c r="E357" s="267"/>
      <c r="F357" s="267"/>
      <c r="G357" s="267"/>
      <c r="H357" s="267"/>
      <c r="J357" s="267"/>
      <c r="K357" s="267"/>
    </row>
    <row r="358" spans="3:11" s="6" customFormat="1" ht="13.8" x14ac:dyDescent="0.3">
      <c r="C358" s="267"/>
      <c r="D358" s="267"/>
      <c r="E358" s="267"/>
      <c r="F358" s="267"/>
      <c r="G358" s="267"/>
      <c r="H358" s="267"/>
      <c r="J358" s="267"/>
      <c r="K358" s="267"/>
    </row>
    <row r="359" spans="3:11" s="6" customFormat="1" ht="13.8" x14ac:dyDescent="0.3">
      <c r="C359" s="267"/>
      <c r="D359" s="267"/>
      <c r="E359" s="267"/>
      <c r="F359" s="267"/>
      <c r="G359" s="267"/>
      <c r="H359" s="267"/>
      <c r="J359" s="267"/>
      <c r="K359" s="267"/>
    </row>
    <row r="360" spans="3:11" s="6" customFormat="1" ht="13.8" x14ac:dyDescent="0.3">
      <c r="C360" s="267"/>
      <c r="D360" s="267"/>
      <c r="E360" s="267"/>
      <c r="F360" s="267"/>
      <c r="G360" s="267"/>
      <c r="H360" s="267"/>
      <c r="J360" s="267"/>
      <c r="K360" s="267"/>
    </row>
    <row r="361" spans="3:11" s="6" customFormat="1" ht="13.8" x14ac:dyDescent="0.3">
      <c r="C361" s="267"/>
      <c r="D361" s="267"/>
      <c r="E361" s="267"/>
      <c r="F361" s="267"/>
      <c r="G361" s="267"/>
      <c r="H361" s="267"/>
      <c r="J361" s="267"/>
      <c r="K361" s="267"/>
    </row>
    <row r="362" spans="3:11" s="6" customFormat="1" ht="13.8" x14ac:dyDescent="0.3">
      <c r="C362" s="267"/>
      <c r="D362" s="267"/>
      <c r="E362" s="267"/>
      <c r="F362" s="267"/>
      <c r="G362" s="267"/>
      <c r="H362" s="267"/>
      <c r="J362" s="267"/>
      <c r="K362" s="267"/>
    </row>
    <row r="363" spans="3:11" s="6" customFormat="1" ht="13.8" x14ac:dyDescent="0.3">
      <c r="C363" s="267"/>
      <c r="D363" s="267"/>
      <c r="E363" s="267"/>
      <c r="F363" s="267"/>
      <c r="G363" s="267"/>
      <c r="H363" s="267"/>
      <c r="J363" s="267"/>
      <c r="K363" s="267"/>
    </row>
    <row r="364" spans="3:11" s="6" customFormat="1" ht="13.8" x14ac:dyDescent="0.3">
      <c r="C364" s="267"/>
      <c r="D364" s="267"/>
      <c r="E364" s="267"/>
      <c r="F364" s="267"/>
      <c r="G364" s="267"/>
      <c r="H364" s="267"/>
      <c r="J364" s="267"/>
      <c r="K364" s="267"/>
    </row>
    <row r="365" spans="3:11" s="6" customFormat="1" ht="13.8" x14ac:dyDescent="0.3">
      <c r="C365" s="267"/>
      <c r="D365" s="267"/>
      <c r="E365" s="267"/>
      <c r="F365" s="267"/>
      <c r="G365" s="267"/>
      <c r="H365" s="267"/>
      <c r="J365" s="267"/>
      <c r="K365" s="267"/>
    </row>
    <row r="366" spans="3:11" s="6" customFormat="1" ht="13.8" x14ac:dyDescent="0.3">
      <c r="C366" s="267"/>
      <c r="D366" s="267"/>
      <c r="E366" s="267"/>
      <c r="F366" s="267"/>
      <c r="G366" s="267"/>
      <c r="H366" s="267"/>
      <c r="J366" s="267"/>
      <c r="K366" s="267"/>
    </row>
    <row r="367" spans="3:11" s="6" customFormat="1" ht="13.8" x14ac:dyDescent="0.3">
      <c r="C367" s="267"/>
      <c r="D367" s="267"/>
      <c r="E367" s="267"/>
      <c r="F367" s="267"/>
      <c r="G367" s="267"/>
      <c r="H367" s="267"/>
      <c r="J367" s="267"/>
      <c r="K367" s="267"/>
    </row>
    <row r="368" spans="3:11" s="6" customFormat="1" ht="13.8" x14ac:dyDescent="0.3">
      <c r="C368" s="267"/>
      <c r="D368" s="267"/>
      <c r="E368" s="267"/>
      <c r="F368" s="267"/>
      <c r="G368" s="267"/>
      <c r="H368" s="267"/>
      <c r="J368" s="267"/>
      <c r="K368" s="267"/>
    </row>
  </sheetData>
  <sheetProtection algorithmName="SHA-512" hashValue="zwO6gMTQX56g/HTGLsMR1b4D0j/W+f3x1VlR9LcbqgT+sJBPUOvunJBJrWoER9kOPs1/2FGeNX/38LJ3csYYBw==" saltValue="Ugbx8LgIpQqLRgJYjOCvPw==" spinCount="100000" sheet="1" objects="1" scenarios="1"/>
  <pageMargins left="0.35" right="0.2" top="0.35" bottom="0.35" header="0.3" footer="0.3"/>
  <pageSetup scale="88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9B6F-6D88-48B7-83BA-5318C3104F4E}">
  <dimension ref="A1:W158"/>
  <sheetViews>
    <sheetView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ColWidth="9.109375" defaultRowHeight="13.8" x14ac:dyDescent="0.3"/>
  <cols>
    <col min="1" max="1" width="22.6640625" style="241" customWidth="1"/>
    <col min="2" max="2" width="7.109375" style="241" bestFit="1" customWidth="1"/>
    <col min="3" max="4" width="14.5546875" style="241" bestFit="1" customWidth="1"/>
    <col min="5" max="6" width="12" style="241" bestFit="1" customWidth="1"/>
    <col min="7" max="7" width="14.5546875" style="241" bestFit="1" customWidth="1"/>
    <col min="8" max="8" width="13.5546875" style="241" bestFit="1" customWidth="1"/>
    <col min="9" max="10" width="10" style="241" bestFit="1" customWidth="1"/>
    <col min="11" max="11" width="7.33203125" style="241" bestFit="1" customWidth="1"/>
    <col min="12" max="12" width="9.88671875" style="241" bestFit="1" customWidth="1"/>
    <col min="13" max="13" width="12" style="241" bestFit="1" customWidth="1"/>
    <col min="14" max="14" width="10" style="241" bestFit="1" customWidth="1"/>
    <col min="15" max="15" width="12" style="241" bestFit="1" customWidth="1"/>
    <col min="16" max="16" width="6.44140625" style="241" bestFit="1" customWidth="1"/>
    <col min="17" max="17" width="9" style="241" bestFit="1" customWidth="1"/>
    <col min="18" max="18" width="12" style="241" bestFit="1" customWidth="1"/>
    <col min="19" max="19" width="10" style="241" bestFit="1" customWidth="1"/>
    <col min="20" max="22" width="14.5546875" style="241" bestFit="1" customWidth="1"/>
    <col min="23" max="23" width="12" style="241" bestFit="1" customWidth="1"/>
    <col min="24" max="16384" width="9.109375" style="241"/>
  </cols>
  <sheetData>
    <row r="1" spans="1:23" ht="18" x14ac:dyDescent="0.35">
      <c r="A1" s="238" t="s">
        <v>451</v>
      </c>
      <c r="B1" s="239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</row>
    <row r="2" spans="1:23" x14ac:dyDescent="0.3">
      <c r="A2" s="242" t="s">
        <v>452</v>
      </c>
      <c r="B2" s="239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23" x14ac:dyDescent="0.3">
      <c r="A3" s="243" t="s">
        <v>151</v>
      </c>
      <c r="B3" s="244"/>
      <c r="C3" s="245" t="s">
        <v>330</v>
      </c>
      <c r="D3" s="245" t="s">
        <v>330</v>
      </c>
      <c r="E3" s="245" t="s">
        <v>330</v>
      </c>
      <c r="F3" s="245" t="s">
        <v>330</v>
      </c>
      <c r="G3" s="245" t="s">
        <v>330</v>
      </c>
      <c r="H3" s="245" t="s">
        <v>330</v>
      </c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</row>
    <row r="4" spans="1:23" x14ac:dyDescent="0.3">
      <c r="A4" s="246"/>
      <c r="B4" s="244"/>
      <c r="C4" s="247" t="s">
        <v>331</v>
      </c>
      <c r="D4" s="248" t="s">
        <v>331</v>
      </c>
      <c r="E4" s="245"/>
      <c r="F4" s="245"/>
      <c r="G4" s="249" t="s">
        <v>331</v>
      </c>
      <c r="H4" s="249" t="s">
        <v>331</v>
      </c>
      <c r="I4" s="247" t="s">
        <v>331</v>
      </c>
      <c r="J4" s="248" t="s">
        <v>331</v>
      </c>
      <c r="K4" s="245"/>
      <c r="L4" s="245"/>
      <c r="M4" s="249" t="s">
        <v>331</v>
      </c>
      <c r="N4" s="247" t="s">
        <v>331</v>
      </c>
      <c r="O4" s="248" t="s">
        <v>331</v>
      </c>
      <c r="P4" s="245"/>
      <c r="Q4" s="245"/>
      <c r="R4" s="249" t="s">
        <v>331</v>
      </c>
      <c r="S4" s="249" t="s">
        <v>331</v>
      </c>
    </row>
    <row r="5" spans="1:23" ht="41.4" x14ac:dyDescent="0.3">
      <c r="A5" s="250" t="s">
        <v>153</v>
      </c>
      <c r="B5" s="251" t="s">
        <v>392</v>
      </c>
      <c r="C5" s="252" t="s">
        <v>413</v>
      </c>
      <c r="D5" s="252" t="s">
        <v>414</v>
      </c>
      <c r="E5" s="252" t="s">
        <v>415</v>
      </c>
      <c r="F5" s="252" t="s">
        <v>393</v>
      </c>
      <c r="G5" s="252" t="s">
        <v>394</v>
      </c>
      <c r="H5" s="252" t="s">
        <v>395</v>
      </c>
      <c r="I5" s="252" t="s">
        <v>332</v>
      </c>
      <c r="J5" s="252" t="s">
        <v>333</v>
      </c>
      <c r="K5" s="252" t="s">
        <v>334</v>
      </c>
      <c r="L5" s="252" t="s">
        <v>335</v>
      </c>
      <c r="M5" s="252" t="s">
        <v>336</v>
      </c>
      <c r="N5" s="252" t="s">
        <v>337</v>
      </c>
      <c r="O5" s="252" t="s">
        <v>338</v>
      </c>
      <c r="P5" s="252" t="s">
        <v>339</v>
      </c>
      <c r="Q5" s="252" t="s">
        <v>416</v>
      </c>
      <c r="R5" s="252" t="s">
        <v>340</v>
      </c>
      <c r="S5" s="252" t="s">
        <v>11</v>
      </c>
      <c r="T5" s="253" t="s">
        <v>341</v>
      </c>
      <c r="U5" s="254" t="s">
        <v>342</v>
      </c>
      <c r="V5" s="255" t="s">
        <v>343</v>
      </c>
      <c r="W5" s="66" t="s">
        <v>344</v>
      </c>
    </row>
    <row r="6" spans="1:23" x14ac:dyDescent="0.3">
      <c r="A6" s="241" t="s">
        <v>114</v>
      </c>
      <c r="B6" s="241">
        <v>1001</v>
      </c>
      <c r="C6" s="256">
        <v>296789993</v>
      </c>
      <c r="D6" s="256">
        <v>42730050</v>
      </c>
      <c r="E6" s="256">
        <v>510117</v>
      </c>
      <c r="F6" s="256">
        <v>2164753</v>
      </c>
      <c r="G6" s="256">
        <v>26423332</v>
      </c>
      <c r="H6" s="256">
        <v>459230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0</v>
      </c>
      <c r="Q6" s="256">
        <v>0</v>
      </c>
      <c r="R6" s="256">
        <v>0</v>
      </c>
      <c r="S6" s="256">
        <v>0</v>
      </c>
      <c r="T6" s="257">
        <f>C6+I6+N6</f>
        <v>296789993</v>
      </c>
      <c r="U6" s="257">
        <f>D6+J6+O6</f>
        <v>42730050</v>
      </c>
      <c r="V6" s="257">
        <f>G6+H6+M6+R6+S6</f>
        <v>26882562</v>
      </c>
      <c r="W6" s="257">
        <f>ROUND(((T6*1.32)/1000+(U6*2.954)/1000+(V6*6.113)/1000)/2,0)</f>
        <v>341160</v>
      </c>
    </row>
    <row r="7" spans="1:23" x14ac:dyDescent="0.3">
      <c r="A7" s="241" t="s">
        <v>143</v>
      </c>
      <c r="B7" s="241">
        <v>1003</v>
      </c>
      <c r="C7" s="256">
        <v>241082334</v>
      </c>
      <c r="D7" s="256">
        <v>23590340</v>
      </c>
      <c r="E7" s="256">
        <v>311672</v>
      </c>
      <c r="F7" s="256">
        <v>1266125</v>
      </c>
      <c r="G7" s="256">
        <v>9969623</v>
      </c>
      <c r="H7" s="256">
        <v>1363244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7">
        <f t="shared" ref="T7:U70" si="0">C7+I7+N7</f>
        <v>241082334</v>
      </c>
      <c r="U7" s="257">
        <f t="shared" si="0"/>
        <v>23590340</v>
      </c>
      <c r="V7" s="257">
        <f t="shared" ref="V7:V70" si="1">G7+H7+M7+R7+S7</f>
        <v>11332867</v>
      </c>
      <c r="W7" s="257">
        <f t="shared" ref="W7:W70" si="2">ROUND(((T7*1.32)/1000+(U7*2.954)/1000+(V7*6.113)/1000)/2,0)</f>
        <v>228596</v>
      </c>
    </row>
    <row r="8" spans="1:23" x14ac:dyDescent="0.3">
      <c r="A8" s="241" t="s">
        <v>80</v>
      </c>
      <c r="B8" s="241">
        <v>2002</v>
      </c>
      <c r="C8" s="256">
        <v>499676416</v>
      </c>
      <c r="D8" s="256">
        <v>647589381</v>
      </c>
      <c r="E8" s="256">
        <v>3960865</v>
      </c>
      <c r="F8" s="256">
        <v>7359902</v>
      </c>
      <c r="G8" s="256">
        <v>353622953</v>
      </c>
      <c r="H8" s="256">
        <v>52192759</v>
      </c>
      <c r="I8" s="256">
        <v>1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0</v>
      </c>
      <c r="P8" s="256">
        <v>0</v>
      </c>
      <c r="Q8" s="256">
        <v>0</v>
      </c>
      <c r="R8" s="256">
        <v>0</v>
      </c>
      <c r="S8" s="256">
        <v>0</v>
      </c>
      <c r="T8" s="257">
        <f t="shared" si="0"/>
        <v>499676417</v>
      </c>
      <c r="U8" s="257">
        <f t="shared" si="0"/>
        <v>647589381</v>
      </c>
      <c r="V8" s="257">
        <f t="shared" si="1"/>
        <v>405815712</v>
      </c>
      <c r="W8" s="257">
        <f t="shared" si="2"/>
        <v>2526652</v>
      </c>
    </row>
    <row r="9" spans="1:23" x14ac:dyDescent="0.3">
      <c r="A9" s="241" t="s">
        <v>83</v>
      </c>
      <c r="B9" s="241">
        <v>2003</v>
      </c>
      <c r="C9" s="256">
        <v>434127886</v>
      </c>
      <c r="D9" s="256">
        <v>46098625</v>
      </c>
      <c r="E9" s="256">
        <v>393654</v>
      </c>
      <c r="F9" s="256">
        <v>1824278</v>
      </c>
      <c r="G9" s="256">
        <v>14110616</v>
      </c>
      <c r="H9" s="256">
        <v>58761536</v>
      </c>
      <c r="I9" s="256">
        <v>0</v>
      </c>
      <c r="J9" s="256">
        <v>0</v>
      </c>
      <c r="K9" s="256">
        <v>0</v>
      </c>
      <c r="L9" s="256">
        <v>0</v>
      </c>
      <c r="M9" s="256">
        <v>0</v>
      </c>
      <c r="N9" s="256">
        <v>0</v>
      </c>
      <c r="O9" s="256">
        <v>0</v>
      </c>
      <c r="P9" s="256">
        <v>0</v>
      </c>
      <c r="Q9" s="256">
        <v>0</v>
      </c>
      <c r="R9" s="256">
        <v>0</v>
      </c>
      <c r="S9" s="256">
        <v>0</v>
      </c>
      <c r="T9" s="257">
        <f t="shared" si="0"/>
        <v>434127886</v>
      </c>
      <c r="U9" s="257">
        <f t="shared" si="0"/>
        <v>46098625</v>
      </c>
      <c r="V9" s="257">
        <f t="shared" si="1"/>
        <v>72872152</v>
      </c>
      <c r="W9" s="257">
        <f t="shared" si="2"/>
        <v>577346</v>
      </c>
    </row>
    <row r="10" spans="1:23" x14ac:dyDescent="0.3">
      <c r="A10" s="241" t="s">
        <v>148</v>
      </c>
      <c r="B10" s="241">
        <v>2006</v>
      </c>
      <c r="C10" s="256">
        <v>443449761</v>
      </c>
      <c r="D10" s="256">
        <v>52823467</v>
      </c>
      <c r="E10" s="256">
        <v>566209</v>
      </c>
      <c r="F10" s="256">
        <v>2403197</v>
      </c>
      <c r="G10" s="256">
        <v>29405968</v>
      </c>
      <c r="H10" s="256">
        <v>10031019</v>
      </c>
      <c r="I10" s="256">
        <v>0</v>
      </c>
      <c r="J10" s="256">
        <v>0</v>
      </c>
      <c r="K10" s="256">
        <v>0</v>
      </c>
      <c r="L10" s="256">
        <v>0</v>
      </c>
      <c r="M10" s="256">
        <v>0</v>
      </c>
      <c r="N10" s="256">
        <v>0</v>
      </c>
      <c r="O10" s="256">
        <v>0</v>
      </c>
      <c r="P10" s="256">
        <v>0</v>
      </c>
      <c r="Q10" s="256">
        <v>0</v>
      </c>
      <c r="R10" s="256">
        <v>0</v>
      </c>
      <c r="S10" s="256">
        <v>0</v>
      </c>
      <c r="T10" s="257">
        <f t="shared" si="0"/>
        <v>443449761</v>
      </c>
      <c r="U10" s="257">
        <f t="shared" si="0"/>
        <v>52823467</v>
      </c>
      <c r="V10" s="257">
        <f t="shared" si="1"/>
        <v>39436987</v>
      </c>
      <c r="W10" s="257">
        <f t="shared" si="2"/>
        <v>491236</v>
      </c>
    </row>
    <row r="11" spans="1:23" x14ac:dyDescent="0.3">
      <c r="A11" s="241" t="s">
        <v>20</v>
      </c>
      <c r="B11" s="241">
        <v>3001</v>
      </c>
      <c r="C11" s="256">
        <v>217963268</v>
      </c>
      <c r="D11" s="256">
        <v>46331261</v>
      </c>
      <c r="E11" s="256">
        <v>727003</v>
      </c>
      <c r="F11" s="256">
        <v>4441992</v>
      </c>
      <c r="G11" s="256">
        <v>29806871</v>
      </c>
      <c r="H11" s="256">
        <v>0</v>
      </c>
      <c r="I11" s="256">
        <v>0</v>
      </c>
      <c r="J11" s="256">
        <v>0</v>
      </c>
      <c r="K11" s="256">
        <v>0</v>
      </c>
      <c r="L11" s="256">
        <v>0</v>
      </c>
      <c r="M11" s="256">
        <v>0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7">
        <f t="shared" si="0"/>
        <v>217963268</v>
      </c>
      <c r="U11" s="257">
        <f t="shared" si="0"/>
        <v>46331261</v>
      </c>
      <c r="V11" s="257">
        <f t="shared" si="1"/>
        <v>29806871</v>
      </c>
      <c r="W11" s="257">
        <f t="shared" si="2"/>
        <v>303392</v>
      </c>
    </row>
    <row r="12" spans="1:23" x14ac:dyDescent="0.3">
      <c r="A12" s="241" t="s">
        <v>17</v>
      </c>
      <c r="B12" s="241">
        <v>4001</v>
      </c>
      <c r="C12" s="256">
        <v>199331835</v>
      </c>
      <c r="D12" s="256">
        <v>42241043</v>
      </c>
      <c r="E12" s="256">
        <v>120955</v>
      </c>
      <c r="F12" s="256">
        <v>776030</v>
      </c>
      <c r="G12" s="256">
        <v>15217472</v>
      </c>
      <c r="H12" s="256">
        <v>1035383</v>
      </c>
      <c r="I12" s="256">
        <v>0</v>
      </c>
      <c r="J12" s="256">
        <v>0</v>
      </c>
      <c r="K12" s="256">
        <v>0</v>
      </c>
      <c r="L12" s="256">
        <v>0</v>
      </c>
      <c r="M12" s="256">
        <v>0</v>
      </c>
      <c r="N12" s="256">
        <v>0</v>
      </c>
      <c r="O12" s="256">
        <v>0</v>
      </c>
      <c r="P12" s="256">
        <v>0</v>
      </c>
      <c r="Q12" s="256">
        <v>0</v>
      </c>
      <c r="R12" s="256">
        <v>0</v>
      </c>
      <c r="S12" s="256">
        <v>0</v>
      </c>
      <c r="T12" s="257">
        <f t="shared" si="0"/>
        <v>199331835</v>
      </c>
      <c r="U12" s="257">
        <f t="shared" si="0"/>
        <v>42241043</v>
      </c>
      <c r="V12" s="257">
        <f t="shared" si="1"/>
        <v>16252855</v>
      </c>
      <c r="W12" s="257">
        <f t="shared" si="2"/>
        <v>243626</v>
      </c>
    </row>
    <row r="13" spans="1:23" x14ac:dyDescent="0.3">
      <c r="A13" s="241" t="s">
        <v>24</v>
      </c>
      <c r="B13" s="241">
        <v>4002</v>
      </c>
      <c r="C13" s="256">
        <v>364104191</v>
      </c>
      <c r="D13" s="256">
        <v>149235918</v>
      </c>
      <c r="E13" s="256">
        <v>925473</v>
      </c>
      <c r="F13" s="256">
        <v>3353328</v>
      </c>
      <c r="G13" s="256">
        <v>59549698</v>
      </c>
      <c r="H13" s="256">
        <v>1308734</v>
      </c>
      <c r="I13" s="256">
        <v>1</v>
      </c>
      <c r="J13" s="256">
        <v>0</v>
      </c>
      <c r="K13" s="256">
        <v>0</v>
      </c>
      <c r="L13" s="256">
        <v>0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0</v>
      </c>
      <c r="S13" s="256">
        <v>0</v>
      </c>
      <c r="T13" s="257">
        <f t="shared" si="0"/>
        <v>364104192</v>
      </c>
      <c r="U13" s="257">
        <f t="shared" si="0"/>
        <v>149235918</v>
      </c>
      <c r="V13" s="257">
        <f t="shared" si="1"/>
        <v>60858432</v>
      </c>
      <c r="W13" s="257">
        <f t="shared" si="2"/>
        <v>646744</v>
      </c>
    </row>
    <row r="14" spans="1:23" x14ac:dyDescent="0.3">
      <c r="A14" s="241" t="s">
        <v>120</v>
      </c>
      <c r="B14" s="241">
        <v>4003</v>
      </c>
      <c r="C14" s="256">
        <v>337392972</v>
      </c>
      <c r="D14" s="256">
        <v>60178744</v>
      </c>
      <c r="E14" s="256">
        <v>155994</v>
      </c>
      <c r="F14" s="256">
        <v>2308419</v>
      </c>
      <c r="G14" s="256">
        <v>29101915</v>
      </c>
      <c r="H14" s="256">
        <v>3738151</v>
      </c>
      <c r="I14" s="256">
        <v>0</v>
      </c>
      <c r="J14" s="256">
        <v>0</v>
      </c>
      <c r="K14" s="256">
        <v>0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7">
        <f t="shared" si="0"/>
        <v>337392972</v>
      </c>
      <c r="U14" s="257">
        <f t="shared" si="0"/>
        <v>60178744</v>
      </c>
      <c r="V14" s="257">
        <f t="shared" si="1"/>
        <v>32840066</v>
      </c>
      <c r="W14" s="257">
        <f t="shared" si="2"/>
        <v>411939</v>
      </c>
    </row>
    <row r="15" spans="1:23" x14ac:dyDescent="0.3">
      <c r="A15" s="241" t="s">
        <v>29</v>
      </c>
      <c r="B15" s="241">
        <v>5001</v>
      </c>
      <c r="C15" s="256">
        <v>221966471</v>
      </c>
      <c r="D15" s="256">
        <v>1260495434</v>
      </c>
      <c r="E15" s="256">
        <v>6953936</v>
      </c>
      <c r="F15" s="256">
        <v>14051654</v>
      </c>
      <c r="G15" s="256">
        <v>842546366</v>
      </c>
      <c r="H15" s="256">
        <v>11972573</v>
      </c>
      <c r="I15" s="256">
        <v>0</v>
      </c>
      <c r="J15" s="256">
        <v>0</v>
      </c>
      <c r="K15" s="256">
        <v>0</v>
      </c>
      <c r="L15" s="256">
        <v>0</v>
      </c>
      <c r="M15" s="256">
        <v>0</v>
      </c>
      <c r="N15" s="256">
        <v>46240</v>
      </c>
      <c r="O15" s="256">
        <v>0</v>
      </c>
      <c r="P15" s="256">
        <v>0</v>
      </c>
      <c r="Q15" s="256">
        <v>0</v>
      </c>
      <c r="R15" s="256">
        <v>39814209</v>
      </c>
      <c r="S15" s="256">
        <v>0</v>
      </c>
      <c r="T15" s="257">
        <f t="shared" si="0"/>
        <v>222012711</v>
      </c>
      <c r="U15" s="257">
        <f t="shared" si="0"/>
        <v>1260495434</v>
      </c>
      <c r="V15" s="257">
        <f t="shared" si="1"/>
        <v>894333148</v>
      </c>
      <c r="W15" s="257">
        <f t="shared" si="2"/>
        <v>4741809</v>
      </c>
    </row>
    <row r="16" spans="1:23" x14ac:dyDescent="0.3">
      <c r="A16" s="241" t="s">
        <v>53</v>
      </c>
      <c r="B16" s="241">
        <v>5003</v>
      </c>
      <c r="C16" s="256">
        <v>222629187</v>
      </c>
      <c r="D16" s="256">
        <v>67599433</v>
      </c>
      <c r="E16" s="256">
        <v>254600</v>
      </c>
      <c r="F16" s="256">
        <v>1227929</v>
      </c>
      <c r="G16" s="256">
        <v>28051578</v>
      </c>
      <c r="H16" s="256">
        <v>140969587</v>
      </c>
      <c r="I16" s="256">
        <v>0</v>
      </c>
      <c r="J16" s="256">
        <v>0</v>
      </c>
      <c r="K16" s="256">
        <v>0</v>
      </c>
      <c r="L16" s="256">
        <v>0</v>
      </c>
      <c r="M16" s="256">
        <v>0</v>
      </c>
      <c r="N16" s="256">
        <v>0</v>
      </c>
      <c r="O16" s="256">
        <v>1505963</v>
      </c>
      <c r="P16" s="256">
        <v>0</v>
      </c>
      <c r="Q16" s="256">
        <v>0</v>
      </c>
      <c r="R16" s="256">
        <v>1417997</v>
      </c>
      <c r="S16" s="256">
        <v>0</v>
      </c>
      <c r="T16" s="257">
        <f t="shared" si="0"/>
        <v>222629187</v>
      </c>
      <c r="U16" s="257">
        <f t="shared" si="0"/>
        <v>69105396</v>
      </c>
      <c r="V16" s="257">
        <f t="shared" si="1"/>
        <v>170439162</v>
      </c>
      <c r="W16" s="257">
        <f t="shared" si="2"/>
        <v>769951</v>
      </c>
    </row>
    <row r="17" spans="1:23" x14ac:dyDescent="0.3">
      <c r="A17" s="241" t="s">
        <v>123</v>
      </c>
      <c r="B17" s="241">
        <v>5005</v>
      </c>
      <c r="C17" s="256">
        <v>229846962</v>
      </c>
      <c r="D17" s="256">
        <v>186890325</v>
      </c>
      <c r="E17" s="256">
        <v>1495000</v>
      </c>
      <c r="F17" s="256">
        <v>2405920</v>
      </c>
      <c r="G17" s="256">
        <v>81888240</v>
      </c>
      <c r="H17" s="256">
        <v>2687032</v>
      </c>
      <c r="I17" s="256">
        <v>0</v>
      </c>
      <c r="J17" s="256">
        <v>0</v>
      </c>
      <c r="K17" s="256">
        <v>0</v>
      </c>
      <c r="L17" s="256">
        <v>0</v>
      </c>
      <c r="M17" s="256">
        <v>1</v>
      </c>
      <c r="N17" s="256">
        <v>0</v>
      </c>
      <c r="O17" s="256">
        <v>23165854</v>
      </c>
      <c r="P17" s="256">
        <v>0</v>
      </c>
      <c r="Q17" s="256">
        <v>0</v>
      </c>
      <c r="R17" s="256">
        <v>5460320</v>
      </c>
      <c r="S17" s="256">
        <v>0</v>
      </c>
      <c r="T17" s="257">
        <f t="shared" si="0"/>
        <v>229846962</v>
      </c>
      <c r="U17" s="257">
        <f t="shared" si="0"/>
        <v>210056179</v>
      </c>
      <c r="V17" s="257">
        <f t="shared" si="1"/>
        <v>90035593</v>
      </c>
      <c r="W17" s="257">
        <f t="shared" si="2"/>
        <v>737146</v>
      </c>
    </row>
    <row r="18" spans="1:23" x14ac:dyDescent="0.3">
      <c r="A18" s="241" t="s">
        <v>43</v>
      </c>
      <c r="B18" s="241">
        <v>5006</v>
      </c>
      <c r="C18" s="256">
        <v>312623695</v>
      </c>
      <c r="D18" s="256">
        <v>114177156</v>
      </c>
      <c r="E18" s="256">
        <v>1079718</v>
      </c>
      <c r="F18" s="256">
        <v>2037472</v>
      </c>
      <c r="G18" s="256">
        <v>47920956</v>
      </c>
      <c r="H18" s="256">
        <v>41404093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0</v>
      </c>
      <c r="S18" s="256">
        <v>0</v>
      </c>
      <c r="T18" s="257">
        <f t="shared" si="0"/>
        <v>312623695</v>
      </c>
      <c r="U18" s="257">
        <f t="shared" si="0"/>
        <v>114177156</v>
      </c>
      <c r="V18" s="257">
        <f t="shared" si="1"/>
        <v>89325049</v>
      </c>
      <c r="W18" s="257">
        <f t="shared" si="2"/>
        <v>647993</v>
      </c>
    </row>
    <row r="19" spans="1:23" x14ac:dyDescent="0.3">
      <c r="A19" s="241" t="s">
        <v>12</v>
      </c>
      <c r="B19" s="241">
        <v>6001</v>
      </c>
      <c r="C19" s="256">
        <v>383582981</v>
      </c>
      <c r="D19" s="256">
        <v>1703848228</v>
      </c>
      <c r="E19" s="256">
        <v>3125776</v>
      </c>
      <c r="F19" s="256">
        <v>10319546</v>
      </c>
      <c r="G19" s="256">
        <v>811462625</v>
      </c>
      <c r="H19" s="256">
        <v>76413103</v>
      </c>
      <c r="I19" s="256">
        <v>1</v>
      </c>
      <c r="J19" s="256">
        <v>0</v>
      </c>
      <c r="K19" s="256">
        <v>0</v>
      </c>
      <c r="L19" s="256">
        <v>0</v>
      </c>
      <c r="M19" s="256">
        <v>58903323</v>
      </c>
      <c r="N19" s="256">
        <v>0</v>
      </c>
      <c r="O19" s="256">
        <v>84689893</v>
      </c>
      <c r="P19" s="256">
        <v>0</v>
      </c>
      <c r="Q19" s="256">
        <v>0</v>
      </c>
      <c r="R19" s="256">
        <v>30131636</v>
      </c>
      <c r="S19" s="256">
        <v>0</v>
      </c>
      <c r="T19" s="257">
        <f t="shared" si="0"/>
        <v>383582982</v>
      </c>
      <c r="U19" s="257">
        <f t="shared" si="0"/>
        <v>1788538121</v>
      </c>
      <c r="V19" s="257">
        <f t="shared" si="1"/>
        <v>976910687</v>
      </c>
      <c r="W19" s="257">
        <f t="shared" si="2"/>
        <v>5880763</v>
      </c>
    </row>
    <row r="20" spans="1:23" x14ac:dyDescent="0.3">
      <c r="A20" s="241" t="s">
        <v>60</v>
      </c>
      <c r="B20" s="241">
        <v>6002</v>
      </c>
      <c r="C20" s="256">
        <v>318950971</v>
      </c>
      <c r="D20" s="256">
        <v>32514091</v>
      </c>
      <c r="E20" s="256">
        <v>235040</v>
      </c>
      <c r="F20" s="256">
        <v>904074</v>
      </c>
      <c r="G20" s="256">
        <v>15069057</v>
      </c>
      <c r="H20" s="256">
        <v>9481687</v>
      </c>
      <c r="I20" s="256">
        <v>0</v>
      </c>
      <c r="J20" s="256">
        <v>0</v>
      </c>
      <c r="K20" s="256">
        <v>0</v>
      </c>
      <c r="L20" s="256">
        <v>0</v>
      </c>
      <c r="M20" s="256">
        <v>0</v>
      </c>
      <c r="N20" s="256">
        <v>0</v>
      </c>
      <c r="O20" s="256">
        <v>0</v>
      </c>
      <c r="P20" s="256">
        <v>0</v>
      </c>
      <c r="Q20" s="256">
        <v>0</v>
      </c>
      <c r="R20" s="256">
        <v>0</v>
      </c>
      <c r="S20" s="256">
        <v>0</v>
      </c>
      <c r="T20" s="257">
        <f t="shared" si="0"/>
        <v>318950971</v>
      </c>
      <c r="U20" s="257">
        <f t="shared" si="0"/>
        <v>32514091</v>
      </c>
      <c r="V20" s="257">
        <f t="shared" si="1"/>
        <v>24550744</v>
      </c>
      <c r="W20" s="257">
        <f t="shared" si="2"/>
        <v>333570</v>
      </c>
    </row>
    <row r="21" spans="1:23" x14ac:dyDescent="0.3">
      <c r="A21" s="241" t="s">
        <v>136</v>
      </c>
      <c r="B21" s="241">
        <v>6005</v>
      </c>
      <c r="C21" s="256">
        <v>211346941</v>
      </c>
      <c r="D21" s="256">
        <v>65447050</v>
      </c>
      <c r="E21" s="256">
        <v>301974</v>
      </c>
      <c r="F21" s="256">
        <v>571861</v>
      </c>
      <c r="G21" s="256">
        <v>11637288</v>
      </c>
      <c r="H21" s="256">
        <v>5805473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7">
        <f t="shared" si="0"/>
        <v>211346941</v>
      </c>
      <c r="U21" s="257">
        <f t="shared" si="0"/>
        <v>65447050</v>
      </c>
      <c r="V21" s="257">
        <f t="shared" si="1"/>
        <v>17442761</v>
      </c>
      <c r="W21" s="257">
        <f t="shared" si="2"/>
        <v>289468</v>
      </c>
    </row>
    <row r="22" spans="1:23" x14ac:dyDescent="0.3">
      <c r="A22" s="241" t="s">
        <v>66</v>
      </c>
      <c r="B22" s="241">
        <v>6006</v>
      </c>
      <c r="C22" s="256">
        <v>917092263</v>
      </c>
      <c r="D22" s="256">
        <v>156828607</v>
      </c>
      <c r="E22" s="256">
        <v>1052707</v>
      </c>
      <c r="F22" s="256">
        <v>3315075</v>
      </c>
      <c r="G22" s="256">
        <v>65384965</v>
      </c>
      <c r="H22" s="256">
        <v>133959650</v>
      </c>
      <c r="I22" s="256">
        <v>1</v>
      </c>
      <c r="J22" s="256">
        <v>0</v>
      </c>
      <c r="K22" s="256">
        <v>0</v>
      </c>
      <c r="L22" s="256">
        <v>0</v>
      </c>
      <c r="M22" s="256">
        <v>1</v>
      </c>
      <c r="N22" s="256">
        <v>0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7">
        <f t="shared" si="0"/>
        <v>917092264</v>
      </c>
      <c r="U22" s="257">
        <f t="shared" si="0"/>
        <v>156828607</v>
      </c>
      <c r="V22" s="257">
        <f t="shared" si="1"/>
        <v>199344616</v>
      </c>
      <c r="W22" s="257">
        <f t="shared" si="2"/>
        <v>1446214</v>
      </c>
    </row>
    <row r="23" spans="1:23" x14ac:dyDescent="0.3">
      <c r="A23" s="241" t="s">
        <v>35</v>
      </c>
      <c r="B23" s="241">
        <v>7001</v>
      </c>
      <c r="C23" s="256">
        <v>472512094</v>
      </c>
      <c r="D23" s="256">
        <v>164730773</v>
      </c>
      <c r="E23" s="256">
        <v>3131436</v>
      </c>
      <c r="F23" s="256">
        <v>6648026</v>
      </c>
      <c r="G23" s="256">
        <v>136614233</v>
      </c>
      <c r="H23" s="256">
        <v>3042368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7">
        <f t="shared" si="0"/>
        <v>472512094</v>
      </c>
      <c r="U23" s="257">
        <f t="shared" si="0"/>
        <v>164730773</v>
      </c>
      <c r="V23" s="257">
        <f t="shared" si="1"/>
        <v>139656601</v>
      </c>
      <c r="W23" s="257">
        <f t="shared" si="2"/>
        <v>982026</v>
      </c>
    </row>
    <row r="24" spans="1:23" x14ac:dyDescent="0.3">
      <c r="A24" s="241" t="s">
        <v>86</v>
      </c>
      <c r="B24" s="241">
        <v>7002</v>
      </c>
      <c r="C24" s="256">
        <v>463578790</v>
      </c>
      <c r="D24" s="256">
        <v>35772296</v>
      </c>
      <c r="E24" s="256">
        <v>601970</v>
      </c>
      <c r="F24" s="256">
        <v>1781754</v>
      </c>
      <c r="G24" s="256">
        <v>36748029</v>
      </c>
      <c r="H24" s="256">
        <v>1561397</v>
      </c>
      <c r="I24" s="256">
        <v>0</v>
      </c>
      <c r="J24" s="256">
        <v>0</v>
      </c>
      <c r="K24" s="256">
        <v>0</v>
      </c>
      <c r="L24" s="256">
        <v>0</v>
      </c>
      <c r="M24" s="256">
        <v>1</v>
      </c>
      <c r="N24" s="256">
        <v>0</v>
      </c>
      <c r="O24" s="256">
        <v>0</v>
      </c>
      <c r="P24" s="256">
        <v>0</v>
      </c>
      <c r="Q24" s="256">
        <v>0</v>
      </c>
      <c r="R24" s="256">
        <v>0</v>
      </c>
      <c r="S24" s="256">
        <v>0</v>
      </c>
      <c r="T24" s="257">
        <f t="shared" si="0"/>
        <v>463578790</v>
      </c>
      <c r="U24" s="257">
        <f t="shared" si="0"/>
        <v>35772296</v>
      </c>
      <c r="V24" s="257">
        <f t="shared" si="1"/>
        <v>38309427</v>
      </c>
      <c r="W24" s="257">
        <f t="shared" si="2"/>
        <v>475890</v>
      </c>
    </row>
    <row r="25" spans="1:23" x14ac:dyDescent="0.3">
      <c r="A25" s="241" t="s">
        <v>19</v>
      </c>
      <c r="B25" s="241">
        <v>9001</v>
      </c>
      <c r="C25" s="256">
        <v>103241053</v>
      </c>
      <c r="D25" s="256">
        <v>540161102</v>
      </c>
      <c r="E25" s="256">
        <v>9355510</v>
      </c>
      <c r="F25" s="256">
        <v>39338574</v>
      </c>
      <c r="G25" s="256">
        <v>243691727</v>
      </c>
      <c r="H25" s="256">
        <v>15762748</v>
      </c>
      <c r="I25" s="256">
        <v>407077</v>
      </c>
      <c r="J25" s="256">
        <v>283599</v>
      </c>
      <c r="K25" s="256">
        <v>0</v>
      </c>
      <c r="L25" s="256">
        <v>0</v>
      </c>
      <c r="M25" s="256">
        <v>4820649</v>
      </c>
      <c r="N25" s="256">
        <v>0</v>
      </c>
      <c r="O25" s="256">
        <v>0</v>
      </c>
      <c r="P25" s="256">
        <v>0</v>
      </c>
      <c r="Q25" s="256">
        <v>0</v>
      </c>
      <c r="R25" s="256">
        <v>0</v>
      </c>
      <c r="S25" s="256">
        <v>0</v>
      </c>
      <c r="T25" s="257">
        <f t="shared" si="0"/>
        <v>103648130</v>
      </c>
      <c r="U25" s="257">
        <f t="shared" si="0"/>
        <v>540444701</v>
      </c>
      <c r="V25" s="257">
        <f t="shared" si="1"/>
        <v>264275124</v>
      </c>
      <c r="W25" s="257">
        <f t="shared" si="2"/>
        <v>1674402</v>
      </c>
    </row>
    <row r="26" spans="1:23" x14ac:dyDescent="0.3">
      <c r="A26" s="241" t="s">
        <v>108</v>
      </c>
      <c r="B26" s="241">
        <v>9002</v>
      </c>
      <c r="C26" s="256">
        <v>231082612</v>
      </c>
      <c r="D26" s="256">
        <v>87890883</v>
      </c>
      <c r="E26" s="256">
        <v>4292630</v>
      </c>
      <c r="F26" s="256">
        <v>17771131</v>
      </c>
      <c r="G26" s="256">
        <v>53719140</v>
      </c>
      <c r="H26" s="256">
        <v>3015852</v>
      </c>
      <c r="I26" s="256">
        <v>730225</v>
      </c>
      <c r="J26" s="256">
        <v>0</v>
      </c>
      <c r="K26" s="256">
        <v>0</v>
      </c>
      <c r="L26" s="256">
        <v>0</v>
      </c>
      <c r="M26" s="256">
        <v>651622</v>
      </c>
      <c r="N26" s="256">
        <v>0</v>
      </c>
      <c r="O26" s="256">
        <v>0</v>
      </c>
      <c r="P26" s="256">
        <v>0</v>
      </c>
      <c r="Q26" s="256">
        <v>0</v>
      </c>
      <c r="R26" s="256">
        <v>0</v>
      </c>
      <c r="S26" s="256">
        <v>0</v>
      </c>
      <c r="T26" s="257">
        <f t="shared" si="0"/>
        <v>231812837</v>
      </c>
      <c r="U26" s="257">
        <f t="shared" si="0"/>
        <v>87890883</v>
      </c>
      <c r="V26" s="257">
        <f t="shared" si="1"/>
        <v>57386614</v>
      </c>
      <c r="W26" s="257">
        <f t="shared" si="2"/>
        <v>458213</v>
      </c>
    </row>
    <row r="27" spans="1:23" x14ac:dyDescent="0.3">
      <c r="A27" s="241" t="s">
        <v>73</v>
      </c>
      <c r="B27" s="241">
        <v>10001</v>
      </c>
      <c r="C27" s="256">
        <v>226237797</v>
      </c>
      <c r="D27" s="256">
        <v>21496678</v>
      </c>
      <c r="E27" s="256">
        <v>661825</v>
      </c>
      <c r="F27" s="256">
        <v>2430081</v>
      </c>
      <c r="G27" s="256">
        <v>25790566</v>
      </c>
      <c r="H27" s="256">
        <v>20203834</v>
      </c>
      <c r="I27" s="256">
        <v>0</v>
      </c>
      <c r="J27" s="256">
        <v>0</v>
      </c>
      <c r="K27" s="256">
        <v>0</v>
      </c>
      <c r="L27" s="256">
        <v>0</v>
      </c>
      <c r="M27" s="256">
        <v>0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7">
        <f t="shared" si="0"/>
        <v>226237797</v>
      </c>
      <c r="U27" s="257">
        <f t="shared" si="0"/>
        <v>21496678</v>
      </c>
      <c r="V27" s="257">
        <f t="shared" si="1"/>
        <v>45994400</v>
      </c>
      <c r="W27" s="257">
        <f t="shared" si="2"/>
        <v>321649</v>
      </c>
    </row>
    <row r="28" spans="1:23" x14ac:dyDescent="0.3">
      <c r="A28" s="241" t="s">
        <v>14</v>
      </c>
      <c r="B28" s="241">
        <v>11001</v>
      </c>
      <c r="C28" s="256">
        <v>152099841</v>
      </c>
      <c r="D28" s="256">
        <v>59648372</v>
      </c>
      <c r="E28" s="256">
        <v>4722197</v>
      </c>
      <c r="F28" s="256">
        <v>1552023</v>
      </c>
      <c r="G28" s="256">
        <v>86013977</v>
      </c>
      <c r="H28" s="256">
        <v>960529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7">
        <f t="shared" si="0"/>
        <v>152099841</v>
      </c>
      <c r="U28" s="257">
        <f t="shared" si="0"/>
        <v>59648372</v>
      </c>
      <c r="V28" s="257">
        <f t="shared" si="1"/>
        <v>86974506</v>
      </c>
      <c r="W28" s="257">
        <f t="shared" si="2"/>
        <v>454324</v>
      </c>
    </row>
    <row r="29" spans="1:23" x14ac:dyDescent="0.3">
      <c r="A29" s="241" t="s">
        <v>134</v>
      </c>
      <c r="B29" s="241">
        <v>11004</v>
      </c>
      <c r="C29" s="256">
        <v>310764083</v>
      </c>
      <c r="D29" s="256">
        <v>75930242</v>
      </c>
      <c r="E29" s="256">
        <v>774489</v>
      </c>
      <c r="F29" s="256">
        <v>1756598</v>
      </c>
      <c r="G29" s="256">
        <v>45824220</v>
      </c>
      <c r="H29" s="256">
        <v>2018575</v>
      </c>
      <c r="I29" s="256">
        <v>0</v>
      </c>
      <c r="J29" s="256">
        <v>0</v>
      </c>
      <c r="K29" s="256">
        <v>0</v>
      </c>
      <c r="L29" s="256">
        <v>0</v>
      </c>
      <c r="M29" s="256">
        <v>0</v>
      </c>
      <c r="N29" s="256">
        <v>0</v>
      </c>
      <c r="O29" s="256">
        <v>0</v>
      </c>
      <c r="P29" s="256">
        <v>0</v>
      </c>
      <c r="Q29" s="256">
        <v>0</v>
      </c>
      <c r="R29" s="256">
        <v>0</v>
      </c>
      <c r="S29" s="256">
        <v>0</v>
      </c>
      <c r="T29" s="257">
        <f t="shared" si="0"/>
        <v>310764083</v>
      </c>
      <c r="U29" s="257">
        <f t="shared" si="0"/>
        <v>75930242</v>
      </c>
      <c r="V29" s="257">
        <f t="shared" si="1"/>
        <v>47842795</v>
      </c>
      <c r="W29" s="257">
        <f t="shared" si="2"/>
        <v>463485</v>
      </c>
    </row>
    <row r="30" spans="1:23" x14ac:dyDescent="0.3">
      <c r="A30" s="241" t="s">
        <v>115</v>
      </c>
      <c r="B30" s="241">
        <v>11005</v>
      </c>
      <c r="C30" s="256">
        <v>599653661</v>
      </c>
      <c r="D30" s="256">
        <v>155882548</v>
      </c>
      <c r="E30" s="256">
        <v>1092902</v>
      </c>
      <c r="F30" s="256">
        <v>2443601</v>
      </c>
      <c r="G30" s="256">
        <v>102027620</v>
      </c>
      <c r="H30" s="256">
        <v>2380924</v>
      </c>
      <c r="I30" s="256">
        <v>0</v>
      </c>
      <c r="J30" s="256">
        <v>0</v>
      </c>
      <c r="K30" s="256">
        <v>0</v>
      </c>
      <c r="L30" s="256">
        <v>0</v>
      </c>
      <c r="M30" s="256">
        <v>2</v>
      </c>
      <c r="N30" s="256">
        <v>0</v>
      </c>
      <c r="O30" s="256">
        <v>0</v>
      </c>
      <c r="P30" s="256">
        <v>0</v>
      </c>
      <c r="Q30" s="256">
        <v>0</v>
      </c>
      <c r="R30" s="256">
        <v>0</v>
      </c>
      <c r="S30" s="256">
        <v>0</v>
      </c>
      <c r="T30" s="257">
        <f t="shared" si="0"/>
        <v>599653661</v>
      </c>
      <c r="U30" s="257">
        <f t="shared" si="0"/>
        <v>155882548</v>
      </c>
      <c r="V30" s="257">
        <f t="shared" si="1"/>
        <v>104408546</v>
      </c>
      <c r="W30" s="257">
        <f t="shared" si="2"/>
        <v>945135</v>
      </c>
    </row>
    <row r="31" spans="1:23" x14ac:dyDescent="0.3">
      <c r="A31" s="241" t="s">
        <v>37</v>
      </c>
      <c r="B31" s="241">
        <v>12002</v>
      </c>
      <c r="C31" s="256">
        <v>689707457</v>
      </c>
      <c r="D31" s="256">
        <v>128286267</v>
      </c>
      <c r="E31" s="256">
        <v>671998</v>
      </c>
      <c r="F31" s="256">
        <v>3168804</v>
      </c>
      <c r="G31" s="256">
        <v>72801870</v>
      </c>
      <c r="H31" s="256">
        <v>54924715</v>
      </c>
      <c r="I31" s="256">
        <v>0</v>
      </c>
      <c r="J31" s="256">
        <v>0</v>
      </c>
      <c r="K31" s="256">
        <v>0</v>
      </c>
      <c r="L31" s="256">
        <v>0</v>
      </c>
      <c r="M31" s="256">
        <v>0</v>
      </c>
      <c r="N31" s="256">
        <v>0</v>
      </c>
      <c r="O31" s="256">
        <v>546743</v>
      </c>
      <c r="P31" s="256">
        <v>0</v>
      </c>
      <c r="Q31" s="256">
        <v>0</v>
      </c>
      <c r="R31" s="256">
        <v>20857</v>
      </c>
      <c r="S31" s="256">
        <v>0</v>
      </c>
      <c r="T31" s="257">
        <f t="shared" si="0"/>
        <v>689707457</v>
      </c>
      <c r="U31" s="257">
        <f t="shared" si="0"/>
        <v>128833010</v>
      </c>
      <c r="V31" s="257">
        <f t="shared" si="1"/>
        <v>127747442</v>
      </c>
      <c r="W31" s="257">
        <f t="shared" si="2"/>
        <v>1035953</v>
      </c>
    </row>
    <row r="32" spans="1:23" x14ac:dyDescent="0.3">
      <c r="A32" s="241" t="s">
        <v>145</v>
      </c>
      <c r="B32" s="241">
        <v>12003</v>
      </c>
      <c r="C32" s="256">
        <v>389637959</v>
      </c>
      <c r="D32" s="256">
        <v>50344705</v>
      </c>
      <c r="E32" s="256">
        <v>588482</v>
      </c>
      <c r="F32" s="256">
        <v>468431</v>
      </c>
      <c r="G32" s="256">
        <v>25147082</v>
      </c>
      <c r="H32" s="256">
        <v>31799027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0</v>
      </c>
      <c r="P32" s="256">
        <v>0</v>
      </c>
      <c r="Q32" s="256">
        <v>0</v>
      </c>
      <c r="R32" s="256">
        <v>0</v>
      </c>
      <c r="S32" s="256">
        <v>0</v>
      </c>
      <c r="T32" s="257">
        <f t="shared" si="0"/>
        <v>389637959</v>
      </c>
      <c r="U32" s="257">
        <f t="shared" si="0"/>
        <v>50344705</v>
      </c>
      <c r="V32" s="257">
        <f t="shared" si="1"/>
        <v>56946109</v>
      </c>
      <c r="W32" s="257">
        <f t="shared" si="2"/>
        <v>505576</v>
      </c>
    </row>
    <row r="33" spans="1:23" x14ac:dyDescent="0.3">
      <c r="A33" s="241" t="s">
        <v>133</v>
      </c>
      <c r="B33" s="241">
        <v>13001</v>
      </c>
      <c r="C33" s="256">
        <v>243467035</v>
      </c>
      <c r="D33" s="256">
        <v>448486052</v>
      </c>
      <c r="E33" s="256">
        <v>5520047</v>
      </c>
      <c r="F33" s="256">
        <v>3931785</v>
      </c>
      <c r="G33" s="256">
        <v>292314773</v>
      </c>
      <c r="H33" s="256">
        <v>5024188</v>
      </c>
      <c r="I33" s="256">
        <v>1</v>
      </c>
      <c r="J33" s="256">
        <v>0</v>
      </c>
      <c r="K33" s="256">
        <v>0</v>
      </c>
      <c r="L33" s="256">
        <v>0</v>
      </c>
      <c r="M33" s="256">
        <v>5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7">
        <f t="shared" si="0"/>
        <v>243467036</v>
      </c>
      <c r="U33" s="257">
        <f t="shared" si="0"/>
        <v>448486052</v>
      </c>
      <c r="V33" s="257">
        <f t="shared" si="1"/>
        <v>297338966</v>
      </c>
      <c r="W33" s="257">
        <f t="shared" si="2"/>
        <v>1731919</v>
      </c>
    </row>
    <row r="34" spans="1:23" x14ac:dyDescent="0.3">
      <c r="A34" s="241" t="s">
        <v>82</v>
      </c>
      <c r="B34" s="241">
        <v>13003</v>
      </c>
      <c r="C34" s="256">
        <v>373717828</v>
      </c>
      <c r="D34" s="256">
        <v>84908718</v>
      </c>
      <c r="E34" s="256">
        <v>181466</v>
      </c>
      <c r="F34" s="256">
        <v>1152582</v>
      </c>
      <c r="G34" s="256">
        <v>24942620</v>
      </c>
      <c r="H34" s="256">
        <v>16977258</v>
      </c>
      <c r="I34" s="256">
        <v>3</v>
      </c>
      <c r="J34" s="256">
        <v>5</v>
      </c>
      <c r="K34" s="256">
        <v>0</v>
      </c>
      <c r="L34" s="256">
        <v>0</v>
      </c>
      <c r="M34" s="256">
        <v>0</v>
      </c>
      <c r="N34" s="256">
        <v>0</v>
      </c>
      <c r="O34" s="256">
        <v>0</v>
      </c>
      <c r="P34" s="256">
        <v>0</v>
      </c>
      <c r="Q34" s="256">
        <v>0</v>
      </c>
      <c r="R34" s="256">
        <v>0</v>
      </c>
      <c r="S34" s="256">
        <v>0</v>
      </c>
      <c r="T34" s="257">
        <f t="shared" si="0"/>
        <v>373717831</v>
      </c>
      <c r="U34" s="257">
        <f t="shared" si="0"/>
        <v>84908723</v>
      </c>
      <c r="V34" s="257">
        <f t="shared" si="1"/>
        <v>41919878</v>
      </c>
      <c r="W34" s="257">
        <f t="shared" si="2"/>
        <v>500192</v>
      </c>
    </row>
    <row r="35" spans="1:23" x14ac:dyDescent="0.3">
      <c r="A35" s="241" t="s">
        <v>59</v>
      </c>
      <c r="B35" s="241">
        <v>14001</v>
      </c>
      <c r="C35" s="256">
        <v>122434823</v>
      </c>
      <c r="D35" s="256">
        <v>40790855</v>
      </c>
      <c r="E35" s="256">
        <v>245784</v>
      </c>
      <c r="F35" s="256">
        <v>1604815</v>
      </c>
      <c r="G35" s="256">
        <v>6966749</v>
      </c>
      <c r="H35" s="256">
        <v>242030</v>
      </c>
      <c r="I35" s="256">
        <v>83156</v>
      </c>
      <c r="J35" s="256">
        <v>0</v>
      </c>
      <c r="K35" s="256">
        <v>0</v>
      </c>
      <c r="L35" s="256">
        <v>0</v>
      </c>
      <c r="M35" s="256">
        <v>102986</v>
      </c>
      <c r="N35" s="256">
        <v>0</v>
      </c>
      <c r="O35" s="256">
        <v>0</v>
      </c>
      <c r="P35" s="256">
        <v>0</v>
      </c>
      <c r="Q35" s="256">
        <v>0</v>
      </c>
      <c r="R35" s="256">
        <v>0</v>
      </c>
      <c r="S35" s="256">
        <v>0</v>
      </c>
      <c r="T35" s="257">
        <f t="shared" si="0"/>
        <v>122517979</v>
      </c>
      <c r="U35" s="257">
        <f t="shared" si="0"/>
        <v>40790855</v>
      </c>
      <c r="V35" s="257">
        <f t="shared" si="1"/>
        <v>7311765</v>
      </c>
      <c r="W35" s="257">
        <f t="shared" si="2"/>
        <v>163458</v>
      </c>
    </row>
    <row r="36" spans="1:23" x14ac:dyDescent="0.3">
      <c r="A36" s="241" t="s">
        <v>72</v>
      </c>
      <c r="B36" s="241">
        <v>14002</v>
      </c>
      <c r="C36" s="256">
        <v>100139230</v>
      </c>
      <c r="D36" s="256">
        <v>21397559</v>
      </c>
      <c r="E36" s="256">
        <v>174243</v>
      </c>
      <c r="F36" s="256">
        <v>1439466</v>
      </c>
      <c r="G36" s="256">
        <v>5571275</v>
      </c>
      <c r="H36" s="256">
        <v>4550163</v>
      </c>
      <c r="I36" s="256">
        <v>100060</v>
      </c>
      <c r="J36" s="256">
        <v>0</v>
      </c>
      <c r="K36" s="256">
        <v>0</v>
      </c>
      <c r="L36" s="256">
        <v>0</v>
      </c>
      <c r="M36" s="256">
        <v>83760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7">
        <f t="shared" si="0"/>
        <v>100239290</v>
      </c>
      <c r="U36" s="257">
        <f t="shared" si="0"/>
        <v>21397559</v>
      </c>
      <c r="V36" s="257">
        <f t="shared" si="1"/>
        <v>10205198</v>
      </c>
      <c r="W36" s="257">
        <f t="shared" si="2"/>
        <v>128954</v>
      </c>
    </row>
    <row r="37" spans="1:23" x14ac:dyDescent="0.3">
      <c r="A37" s="241" t="s">
        <v>137</v>
      </c>
      <c r="B37" s="241">
        <v>14004</v>
      </c>
      <c r="C37" s="256">
        <v>313942668</v>
      </c>
      <c r="D37" s="256">
        <v>1878654856</v>
      </c>
      <c r="E37" s="256">
        <v>6297027</v>
      </c>
      <c r="F37" s="256">
        <v>12167517</v>
      </c>
      <c r="G37" s="256">
        <v>966990554</v>
      </c>
      <c r="H37" s="256">
        <v>14619313</v>
      </c>
      <c r="I37" s="256">
        <v>897501</v>
      </c>
      <c r="J37" s="256">
        <v>0</v>
      </c>
      <c r="K37" s="256">
        <v>0</v>
      </c>
      <c r="L37" s="256">
        <v>0</v>
      </c>
      <c r="M37" s="256">
        <v>37722319</v>
      </c>
      <c r="N37" s="256">
        <v>0</v>
      </c>
      <c r="O37" s="256">
        <v>0</v>
      </c>
      <c r="P37" s="256">
        <v>0</v>
      </c>
      <c r="Q37" s="256">
        <v>0</v>
      </c>
      <c r="R37" s="256">
        <v>4320210</v>
      </c>
      <c r="S37" s="256">
        <v>0</v>
      </c>
      <c r="T37" s="257">
        <f t="shared" si="0"/>
        <v>314840169</v>
      </c>
      <c r="U37" s="257">
        <f t="shared" si="0"/>
        <v>1878654856</v>
      </c>
      <c r="V37" s="257">
        <f t="shared" si="1"/>
        <v>1023652396</v>
      </c>
      <c r="W37" s="257">
        <f t="shared" si="2"/>
        <v>6111361</v>
      </c>
    </row>
    <row r="38" spans="1:23" x14ac:dyDescent="0.3">
      <c r="A38" s="241" t="s">
        <v>139</v>
      </c>
      <c r="B38" s="241">
        <v>14005</v>
      </c>
      <c r="C38" s="256">
        <v>229882398</v>
      </c>
      <c r="D38" s="256">
        <v>38789447</v>
      </c>
      <c r="E38" s="256">
        <v>199792</v>
      </c>
      <c r="F38" s="256">
        <v>1066652</v>
      </c>
      <c r="G38" s="256">
        <v>7923345</v>
      </c>
      <c r="H38" s="256">
        <v>4182867</v>
      </c>
      <c r="I38" s="256">
        <v>115408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0</v>
      </c>
      <c r="P38" s="256">
        <v>0</v>
      </c>
      <c r="Q38" s="256">
        <v>0</v>
      </c>
      <c r="R38" s="256">
        <v>0</v>
      </c>
      <c r="S38" s="256">
        <v>0</v>
      </c>
      <c r="T38" s="257">
        <f t="shared" si="0"/>
        <v>229997806</v>
      </c>
      <c r="U38" s="257">
        <f t="shared" si="0"/>
        <v>38789447</v>
      </c>
      <c r="V38" s="257">
        <f t="shared" si="1"/>
        <v>12106212</v>
      </c>
      <c r="W38" s="257">
        <f t="shared" si="2"/>
        <v>246093</v>
      </c>
    </row>
    <row r="39" spans="1:23" x14ac:dyDescent="0.3">
      <c r="A39" s="241" t="s">
        <v>97</v>
      </c>
      <c r="B39" s="241">
        <v>15001</v>
      </c>
      <c r="C39" s="256">
        <v>185593180</v>
      </c>
      <c r="D39" s="256">
        <v>4563288</v>
      </c>
      <c r="E39" s="256">
        <v>203958</v>
      </c>
      <c r="F39" s="256">
        <v>1445891</v>
      </c>
      <c r="G39" s="256">
        <v>3544768</v>
      </c>
      <c r="H39" s="256">
        <v>15454156</v>
      </c>
      <c r="I39" s="256">
        <v>0</v>
      </c>
      <c r="J39" s="256">
        <v>0</v>
      </c>
      <c r="K39" s="256">
        <v>0</v>
      </c>
      <c r="L39" s="256">
        <v>0</v>
      </c>
      <c r="M39" s="256">
        <v>0</v>
      </c>
      <c r="N39" s="256">
        <v>0</v>
      </c>
      <c r="O39" s="256">
        <v>0</v>
      </c>
      <c r="P39" s="256">
        <v>0</v>
      </c>
      <c r="Q39" s="256">
        <v>0</v>
      </c>
      <c r="R39" s="256">
        <v>0</v>
      </c>
      <c r="S39" s="256">
        <v>0</v>
      </c>
      <c r="T39" s="257">
        <f t="shared" si="0"/>
        <v>185593180</v>
      </c>
      <c r="U39" s="257">
        <f t="shared" si="0"/>
        <v>4563288</v>
      </c>
      <c r="V39" s="257">
        <f t="shared" si="1"/>
        <v>18998924</v>
      </c>
      <c r="W39" s="257">
        <f t="shared" si="2"/>
        <v>187302</v>
      </c>
    </row>
    <row r="40" spans="1:23" x14ac:dyDescent="0.3">
      <c r="A40" s="241" t="s">
        <v>98</v>
      </c>
      <c r="B40" s="241">
        <v>15002</v>
      </c>
      <c r="C40" s="256">
        <v>184520800</v>
      </c>
      <c r="D40" s="256">
        <v>6800666</v>
      </c>
      <c r="E40" s="256">
        <v>648922</v>
      </c>
      <c r="F40" s="256">
        <v>1374702</v>
      </c>
      <c r="G40" s="256">
        <v>19702781</v>
      </c>
      <c r="H40" s="256">
        <v>12272463</v>
      </c>
      <c r="I40" s="256">
        <v>0</v>
      </c>
      <c r="J40" s="256">
        <v>0</v>
      </c>
      <c r="K40" s="256">
        <v>0</v>
      </c>
      <c r="L40" s="256">
        <v>0</v>
      </c>
      <c r="M40" s="256">
        <v>0</v>
      </c>
      <c r="N40" s="256">
        <v>0</v>
      </c>
      <c r="O40" s="256">
        <v>0</v>
      </c>
      <c r="P40" s="256">
        <v>0</v>
      </c>
      <c r="Q40" s="256">
        <v>0</v>
      </c>
      <c r="R40" s="256">
        <v>0</v>
      </c>
      <c r="S40" s="256">
        <v>0</v>
      </c>
      <c r="T40" s="257">
        <f t="shared" si="0"/>
        <v>184520800</v>
      </c>
      <c r="U40" s="257">
        <f t="shared" si="0"/>
        <v>6800666</v>
      </c>
      <c r="V40" s="257">
        <f t="shared" si="1"/>
        <v>31975244</v>
      </c>
      <c r="W40" s="257">
        <f t="shared" si="2"/>
        <v>229561</v>
      </c>
    </row>
    <row r="41" spans="1:23" x14ac:dyDescent="0.3">
      <c r="A41" s="241" t="s">
        <v>124</v>
      </c>
      <c r="B41" s="241">
        <v>15003</v>
      </c>
      <c r="C41" s="256">
        <v>14664835</v>
      </c>
      <c r="D41" s="256">
        <v>160038</v>
      </c>
      <c r="E41" s="256">
        <v>999</v>
      </c>
      <c r="F41" s="256">
        <v>158287</v>
      </c>
      <c r="G41" s="256">
        <v>353549</v>
      </c>
      <c r="H41" s="256">
        <v>6880010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0</v>
      </c>
      <c r="R41" s="256">
        <v>0</v>
      </c>
      <c r="S41" s="256">
        <v>0</v>
      </c>
      <c r="T41" s="257">
        <f t="shared" si="0"/>
        <v>14664835</v>
      </c>
      <c r="U41" s="257">
        <f t="shared" si="0"/>
        <v>160038</v>
      </c>
      <c r="V41" s="257">
        <f t="shared" si="1"/>
        <v>7233559</v>
      </c>
      <c r="W41" s="257">
        <f t="shared" si="2"/>
        <v>32025</v>
      </c>
    </row>
    <row r="42" spans="1:23" x14ac:dyDescent="0.3">
      <c r="A42" s="241" t="s">
        <v>39</v>
      </c>
      <c r="B42" s="241">
        <v>16001</v>
      </c>
      <c r="C42" s="256">
        <v>163844657</v>
      </c>
      <c r="D42" s="256">
        <v>1111456626</v>
      </c>
      <c r="E42" s="256">
        <v>14412359</v>
      </c>
      <c r="F42" s="256">
        <v>47512669</v>
      </c>
      <c r="G42" s="256">
        <v>689455709</v>
      </c>
      <c r="H42" s="256">
        <v>22464022</v>
      </c>
      <c r="I42" s="256">
        <v>0</v>
      </c>
      <c r="J42" s="256">
        <v>0</v>
      </c>
      <c r="K42" s="256">
        <v>0</v>
      </c>
      <c r="L42" s="256">
        <v>0</v>
      </c>
      <c r="M42" s="256">
        <v>2</v>
      </c>
      <c r="N42" s="256">
        <v>0</v>
      </c>
      <c r="O42" s="256">
        <v>128608</v>
      </c>
      <c r="P42" s="256">
        <v>0</v>
      </c>
      <c r="Q42" s="256">
        <v>0</v>
      </c>
      <c r="R42" s="256">
        <v>10532256</v>
      </c>
      <c r="S42" s="256">
        <v>0</v>
      </c>
      <c r="T42" s="257">
        <f t="shared" si="0"/>
        <v>163844657</v>
      </c>
      <c r="U42" s="257">
        <f t="shared" si="0"/>
        <v>1111585234</v>
      </c>
      <c r="V42" s="257">
        <f t="shared" si="1"/>
        <v>722451989</v>
      </c>
      <c r="W42" s="257">
        <f t="shared" si="2"/>
        <v>3958123</v>
      </c>
    </row>
    <row r="43" spans="1:23" x14ac:dyDescent="0.3">
      <c r="A43" s="241" t="s">
        <v>51</v>
      </c>
      <c r="B43" s="241">
        <v>16002</v>
      </c>
      <c r="C43" s="256">
        <v>16978981</v>
      </c>
      <c r="D43" s="256">
        <v>32355299</v>
      </c>
      <c r="E43" s="256">
        <v>309099</v>
      </c>
      <c r="F43" s="256">
        <v>3107858</v>
      </c>
      <c r="G43" s="256">
        <v>30595381</v>
      </c>
      <c r="H43" s="256">
        <v>12448229</v>
      </c>
      <c r="I43" s="256">
        <v>0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7">
        <f t="shared" si="0"/>
        <v>16978981</v>
      </c>
      <c r="U43" s="257">
        <f t="shared" si="0"/>
        <v>32355299</v>
      </c>
      <c r="V43" s="257">
        <f t="shared" si="1"/>
        <v>43043610</v>
      </c>
      <c r="W43" s="257">
        <f t="shared" si="2"/>
        <v>190558</v>
      </c>
    </row>
    <row r="44" spans="1:23" x14ac:dyDescent="0.3">
      <c r="A44" s="241" t="s">
        <v>55</v>
      </c>
      <c r="B44" s="241">
        <v>17001</v>
      </c>
      <c r="C44" s="256">
        <v>116251307</v>
      </c>
      <c r="D44" s="256">
        <v>42190299</v>
      </c>
      <c r="E44" s="256">
        <v>260070</v>
      </c>
      <c r="F44" s="256">
        <v>588946</v>
      </c>
      <c r="G44" s="256">
        <v>11474221</v>
      </c>
      <c r="H44" s="256">
        <v>1262919</v>
      </c>
      <c r="I44" s="256">
        <v>0</v>
      </c>
      <c r="J44" s="256">
        <v>0</v>
      </c>
      <c r="K44" s="256">
        <v>0</v>
      </c>
      <c r="L44" s="256">
        <v>0</v>
      </c>
      <c r="M44" s="256">
        <v>0</v>
      </c>
      <c r="N44" s="256">
        <v>0</v>
      </c>
      <c r="O44" s="256">
        <v>0</v>
      </c>
      <c r="P44" s="256">
        <v>0</v>
      </c>
      <c r="Q44" s="256">
        <v>0</v>
      </c>
      <c r="R44" s="256">
        <v>0</v>
      </c>
      <c r="S44" s="256">
        <v>0</v>
      </c>
      <c r="T44" s="257">
        <f t="shared" si="0"/>
        <v>116251307</v>
      </c>
      <c r="U44" s="257">
        <f t="shared" si="0"/>
        <v>42190299</v>
      </c>
      <c r="V44" s="257">
        <f t="shared" si="1"/>
        <v>12737140</v>
      </c>
      <c r="W44" s="257">
        <f t="shared" si="2"/>
        <v>177972</v>
      </c>
    </row>
    <row r="45" spans="1:23" x14ac:dyDescent="0.3">
      <c r="A45" s="241" t="s">
        <v>103</v>
      </c>
      <c r="B45" s="241">
        <v>17002</v>
      </c>
      <c r="C45" s="256">
        <v>260344312</v>
      </c>
      <c r="D45" s="256">
        <v>1091150266</v>
      </c>
      <c r="E45" s="256">
        <v>3191016</v>
      </c>
      <c r="F45" s="256">
        <v>4807600</v>
      </c>
      <c r="G45" s="256">
        <v>681198877</v>
      </c>
      <c r="H45" s="256">
        <v>33733963</v>
      </c>
      <c r="I45" s="256">
        <v>1</v>
      </c>
      <c r="J45" s="256">
        <v>0</v>
      </c>
      <c r="K45" s="256">
        <v>0</v>
      </c>
      <c r="L45" s="256">
        <v>0</v>
      </c>
      <c r="M45" s="256">
        <v>3</v>
      </c>
      <c r="N45" s="256">
        <v>0</v>
      </c>
      <c r="O45" s="256">
        <v>0</v>
      </c>
      <c r="P45" s="256">
        <v>0</v>
      </c>
      <c r="Q45" s="256">
        <v>0</v>
      </c>
      <c r="R45" s="256">
        <v>0</v>
      </c>
      <c r="S45" s="256">
        <v>0</v>
      </c>
      <c r="T45" s="257">
        <f t="shared" si="0"/>
        <v>260344313</v>
      </c>
      <c r="U45" s="257">
        <f t="shared" si="0"/>
        <v>1091150266</v>
      </c>
      <c r="V45" s="257">
        <f t="shared" si="1"/>
        <v>714932843</v>
      </c>
      <c r="W45" s="257">
        <f t="shared" si="2"/>
        <v>3968648</v>
      </c>
    </row>
    <row r="46" spans="1:23" x14ac:dyDescent="0.3">
      <c r="A46" s="241" t="s">
        <v>106</v>
      </c>
      <c r="B46" s="241">
        <v>17003</v>
      </c>
      <c r="C46" s="256">
        <v>188942368</v>
      </c>
      <c r="D46" s="256">
        <v>42516018</v>
      </c>
      <c r="E46" s="256">
        <v>279282</v>
      </c>
      <c r="F46" s="256">
        <v>934905</v>
      </c>
      <c r="G46" s="256">
        <v>18403489</v>
      </c>
      <c r="H46" s="256">
        <v>1024573</v>
      </c>
      <c r="I46" s="256">
        <v>1</v>
      </c>
      <c r="J46" s="256">
        <v>0</v>
      </c>
      <c r="K46" s="256">
        <v>0</v>
      </c>
      <c r="L46" s="256">
        <v>0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0</v>
      </c>
      <c r="S46" s="256">
        <v>0</v>
      </c>
      <c r="T46" s="257">
        <f t="shared" si="0"/>
        <v>188942369</v>
      </c>
      <c r="U46" s="257">
        <f t="shared" si="0"/>
        <v>42516018</v>
      </c>
      <c r="V46" s="257">
        <f t="shared" si="1"/>
        <v>19428062</v>
      </c>
      <c r="W46" s="257">
        <f t="shared" si="2"/>
        <v>246880</v>
      </c>
    </row>
    <row r="47" spans="1:23" x14ac:dyDescent="0.3">
      <c r="A47" s="241" t="s">
        <v>138</v>
      </c>
      <c r="B47" s="241">
        <v>18003</v>
      </c>
      <c r="C47" s="256">
        <v>121860926</v>
      </c>
      <c r="D47" s="256">
        <v>48635666</v>
      </c>
      <c r="E47" s="256">
        <v>733266</v>
      </c>
      <c r="F47" s="256">
        <v>1487998</v>
      </c>
      <c r="G47" s="256">
        <v>49330953</v>
      </c>
      <c r="H47" s="256">
        <v>10214935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0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7">
        <f t="shared" si="0"/>
        <v>121860926</v>
      </c>
      <c r="U47" s="257">
        <f t="shared" si="0"/>
        <v>48635666</v>
      </c>
      <c r="V47" s="257">
        <f t="shared" si="1"/>
        <v>59545888</v>
      </c>
      <c r="W47" s="257">
        <f t="shared" si="2"/>
        <v>334265</v>
      </c>
    </row>
    <row r="48" spans="1:23" x14ac:dyDescent="0.3">
      <c r="A48" s="241" t="s">
        <v>140</v>
      </c>
      <c r="B48" s="241">
        <v>18005</v>
      </c>
      <c r="C48" s="256">
        <v>352029214</v>
      </c>
      <c r="D48" s="256">
        <v>231878250</v>
      </c>
      <c r="E48" s="256">
        <v>2138172</v>
      </c>
      <c r="F48" s="256">
        <v>2186958</v>
      </c>
      <c r="G48" s="256">
        <v>192573321</v>
      </c>
      <c r="H48" s="256">
        <v>17980807</v>
      </c>
      <c r="I48" s="256">
        <v>30297</v>
      </c>
      <c r="J48" s="256">
        <v>0</v>
      </c>
      <c r="K48" s="256">
        <v>0</v>
      </c>
      <c r="L48" s="256">
        <v>0</v>
      </c>
      <c r="M48" s="256">
        <v>54770</v>
      </c>
      <c r="N48" s="256">
        <v>0</v>
      </c>
      <c r="O48" s="256">
        <v>0</v>
      </c>
      <c r="P48" s="256">
        <v>0</v>
      </c>
      <c r="Q48" s="256">
        <v>0</v>
      </c>
      <c r="R48" s="256">
        <v>0</v>
      </c>
      <c r="S48" s="256">
        <v>0</v>
      </c>
      <c r="T48" s="257">
        <f t="shared" si="0"/>
        <v>352059511</v>
      </c>
      <c r="U48" s="257">
        <f t="shared" si="0"/>
        <v>231878250</v>
      </c>
      <c r="V48" s="257">
        <f t="shared" si="1"/>
        <v>210608898</v>
      </c>
      <c r="W48" s="257">
        <f t="shared" si="2"/>
        <v>1218570</v>
      </c>
    </row>
    <row r="49" spans="1:23" x14ac:dyDescent="0.3">
      <c r="A49" s="241" t="s">
        <v>44</v>
      </c>
      <c r="B49" s="241">
        <v>19004</v>
      </c>
      <c r="C49" s="256">
        <v>449274033</v>
      </c>
      <c r="D49" s="256">
        <v>185311130</v>
      </c>
      <c r="E49" s="256">
        <v>1588688</v>
      </c>
      <c r="F49" s="256">
        <v>2292662</v>
      </c>
      <c r="G49" s="256">
        <v>113345180</v>
      </c>
      <c r="H49" s="256">
        <v>20681824</v>
      </c>
      <c r="I49" s="256">
        <v>3</v>
      </c>
      <c r="J49" s="256">
        <v>0</v>
      </c>
      <c r="K49" s="256">
        <v>0</v>
      </c>
      <c r="L49" s="256">
        <v>0</v>
      </c>
      <c r="M49" s="256">
        <v>1</v>
      </c>
      <c r="N49" s="256">
        <v>0</v>
      </c>
      <c r="O49" s="256">
        <v>0</v>
      </c>
      <c r="P49" s="256">
        <v>0</v>
      </c>
      <c r="Q49" s="256">
        <v>0</v>
      </c>
      <c r="R49" s="256">
        <v>0</v>
      </c>
      <c r="S49" s="256">
        <v>0</v>
      </c>
      <c r="T49" s="257">
        <f t="shared" si="0"/>
        <v>449274036</v>
      </c>
      <c r="U49" s="257">
        <f t="shared" si="0"/>
        <v>185311130</v>
      </c>
      <c r="V49" s="257">
        <f t="shared" si="1"/>
        <v>134027005</v>
      </c>
      <c r="W49" s="257">
        <f t="shared" si="2"/>
        <v>979879</v>
      </c>
    </row>
    <row r="50" spans="1:23" x14ac:dyDescent="0.3">
      <c r="A50" s="241" t="s">
        <v>48</v>
      </c>
      <c r="B50" s="241">
        <v>20001</v>
      </c>
      <c r="C50" s="256">
        <v>185575019</v>
      </c>
      <c r="D50" s="256">
        <v>9888700</v>
      </c>
      <c r="E50" s="256">
        <v>386326</v>
      </c>
      <c r="F50" s="256">
        <v>1355522</v>
      </c>
      <c r="G50" s="256">
        <v>33118638</v>
      </c>
      <c r="H50" s="256">
        <v>1556</v>
      </c>
      <c r="I50" s="256">
        <v>0</v>
      </c>
      <c r="J50" s="256">
        <v>0</v>
      </c>
      <c r="K50" s="256">
        <v>0</v>
      </c>
      <c r="L50" s="256">
        <v>0</v>
      </c>
      <c r="M50" s="256">
        <v>0</v>
      </c>
      <c r="N50" s="256">
        <v>0</v>
      </c>
      <c r="O50" s="256">
        <v>0</v>
      </c>
      <c r="P50" s="256">
        <v>0</v>
      </c>
      <c r="Q50" s="256">
        <v>0</v>
      </c>
      <c r="R50" s="256">
        <v>0</v>
      </c>
      <c r="S50" s="256">
        <v>0</v>
      </c>
      <c r="T50" s="257">
        <f t="shared" si="0"/>
        <v>185575019</v>
      </c>
      <c r="U50" s="257">
        <f t="shared" si="0"/>
        <v>9888700</v>
      </c>
      <c r="V50" s="257">
        <f t="shared" si="1"/>
        <v>33120194</v>
      </c>
      <c r="W50" s="257">
        <f t="shared" si="2"/>
        <v>238317</v>
      </c>
    </row>
    <row r="51" spans="1:23" x14ac:dyDescent="0.3">
      <c r="A51" s="241" t="s">
        <v>130</v>
      </c>
      <c r="B51" s="241">
        <v>20003</v>
      </c>
      <c r="C51" s="256">
        <v>214519733</v>
      </c>
      <c r="D51" s="256">
        <v>17958599</v>
      </c>
      <c r="E51" s="256">
        <v>1068220</v>
      </c>
      <c r="F51" s="256">
        <v>3697620</v>
      </c>
      <c r="G51" s="256">
        <v>14135082</v>
      </c>
      <c r="H51" s="256">
        <v>7167</v>
      </c>
      <c r="I51" s="256">
        <v>0</v>
      </c>
      <c r="J51" s="256">
        <v>0</v>
      </c>
      <c r="K51" s="256">
        <v>0</v>
      </c>
      <c r="L51" s="256">
        <v>0</v>
      </c>
      <c r="M51" s="256">
        <v>0</v>
      </c>
      <c r="N51" s="256">
        <v>0</v>
      </c>
      <c r="O51" s="256">
        <v>0</v>
      </c>
      <c r="P51" s="256">
        <v>0</v>
      </c>
      <c r="Q51" s="256">
        <v>0</v>
      </c>
      <c r="R51" s="256">
        <v>0</v>
      </c>
      <c r="S51" s="256">
        <v>0</v>
      </c>
      <c r="T51" s="257">
        <f t="shared" si="0"/>
        <v>214519733</v>
      </c>
      <c r="U51" s="257">
        <f t="shared" si="0"/>
        <v>17958599</v>
      </c>
      <c r="V51" s="257">
        <f t="shared" si="1"/>
        <v>14142249</v>
      </c>
      <c r="W51" s="257">
        <f t="shared" si="2"/>
        <v>211334</v>
      </c>
    </row>
    <row r="52" spans="1:23" x14ac:dyDescent="0.3">
      <c r="A52" s="241" t="s">
        <v>16</v>
      </c>
      <c r="B52" s="241">
        <v>21001</v>
      </c>
      <c r="C52" s="256">
        <v>166394795</v>
      </c>
      <c r="D52" s="256">
        <v>32169661</v>
      </c>
      <c r="E52" s="256">
        <v>139914</v>
      </c>
      <c r="F52" s="256">
        <v>768815</v>
      </c>
      <c r="G52" s="256">
        <v>16370323</v>
      </c>
      <c r="H52" s="256">
        <v>1478418</v>
      </c>
      <c r="I52" s="256">
        <v>0</v>
      </c>
      <c r="J52" s="256">
        <v>0</v>
      </c>
      <c r="K52" s="256">
        <v>0</v>
      </c>
      <c r="L52" s="256">
        <v>0</v>
      </c>
      <c r="M52" s="256">
        <v>0</v>
      </c>
      <c r="N52" s="256">
        <v>0</v>
      </c>
      <c r="O52" s="256">
        <v>0</v>
      </c>
      <c r="P52" s="256">
        <v>0</v>
      </c>
      <c r="Q52" s="256">
        <v>0</v>
      </c>
      <c r="R52" s="256">
        <v>0</v>
      </c>
      <c r="S52" s="256">
        <v>0</v>
      </c>
      <c r="T52" s="257">
        <f t="shared" si="0"/>
        <v>166394795</v>
      </c>
      <c r="U52" s="257">
        <f t="shared" si="0"/>
        <v>32169661</v>
      </c>
      <c r="V52" s="257">
        <f t="shared" si="1"/>
        <v>17848741</v>
      </c>
      <c r="W52" s="257">
        <f t="shared" si="2"/>
        <v>211890</v>
      </c>
    </row>
    <row r="53" spans="1:23" x14ac:dyDescent="0.3">
      <c r="A53" s="241" t="s">
        <v>401</v>
      </c>
      <c r="B53" s="241">
        <v>21003</v>
      </c>
      <c r="C53" s="256">
        <v>443818737</v>
      </c>
      <c r="D53" s="256">
        <v>66750512</v>
      </c>
      <c r="E53" s="256">
        <v>347416</v>
      </c>
      <c r="F53" s="256">
        <v>1408557</v>
      </c>
      <c r="G53" s="256">
        <v>31505771</v>
      </c>
      <c r="H53" s="256">
        <v>1128112</v>
      </c>
      <c r="I53" s="256">
        <v>0</v>
      </c>
      <c r="J53" s="256">
        <v>0</v>
      </c>
      <c r="K53" s="256">
        <v>0</v>
      </c>
      <c r="L53" s="256">
        <v>0</v>
      </c>
      <c r="M53" s="256">
        <v>0</v>
      </c>
      <c r="N53" s="256">
        <v>0</v>
      </c>
      <c r="O53" s="256">
        <v>0</v>
      </c>
      <c r="P53" s="256">
        <v>0</v>
      </c>
      <c r="Q53" s="256">
        <v>0</v>
      </c>
      <c r="R53" s="256">
        <v>0</v>
      </c>
      <c r="S53" s="256">
        <v>0</v>
      </c>
      <c r="T53" s="257">
        <f t="shared" si="0"/>
        <v>443818737</v>
      </c>
      <c r="U53" s="257">
        <f t="shared" si="0"/>
        <v>66750512</v>
      </c>
      <c r="V53" s="257">
        <f t="shared" si="1"/>
        <v>32633883</v>
      </c>
      <c r="W53" s="257">
        <f t="shared" si="2"/>
        <v>491256</v>
      </c>
    </row>
    <row r="54" spans="1:23" x14ac:dyDescent="0.3">
      <c r="A54" s="241" t="s">
        <v>25</v>
      </c>
      <c r="B54" s="241">
        <v>22001</v>
      </c>
      <c r="C54" s="256">
        <v>207793240</v>
      </c>
      <c r="D54" s="256">
        <v>18087203</v>
      </c>
      <c r="E54" s="256">
        <v>364106</v>
      </c>
      <c r="F54" s="256">
        <v>534218</v>
      </c>
      <c r="G54" s="256">
        <v>22409729</v>
      </c>
      <c r="H54" s="256">
        <v>10445089</v>
      </c>
      <c r="I54" s="256">
        <v>0</v>
      </c>
      <c r="J54" s="256">
        <v>0</v>
      </c>
      <c r="K54" s="256">
        <v>0</v>
      </c>
      <c r="L54" s="256">
        <v>0</v>
      </c>
      <c r="M54" s="256">
        <v>0</v>
      </c>
      <c r="N54" s="256">
        <v>0</v>
      </c>
      <c r="O54" s="256">
        <v>0</v>
      </c>
      <c r="P54" s="256">
        <v>0</v>
      </c>
      <c r="Q54" s="256">
        <v>0</v>
      </c>
      <c r="R54" s="256">
        <v>0</v>
      </c>
      <c r="S54" s="256">
        <v>0</v>
      </c>
      <c r="T54" s="257">
        <f t="shared" si="0"/>
        <v>207793240</v>
      </c>
      <c r="U54" s="257">
        <f t="shared" si="0"/>
        <v>18087203</v>
      </c>
      <c r="V54" s="257">
        <f t="shared" si="1"/>
        <v>32854818</v>
      </c>
      <c r="W54" s="257">
        <f t="shared" si="2"/>
        <v>264279</v>
      </c>
    </row>
    <row r="55" spans="1:23" x14ac:dyDescent="0.3">
      <c r="A55" s="241" t="s">
        <v>50</v>
      </c>
      <c r="B55" s="241">
        <v>22005</v>
      </c>
      <c r="C55" s="256">
        <v>423970938</v>
      </c>
      <c r="D55" s="256">
        <v>22784577</v>
      </c>
      <c r="E55" s="256">
        <v>559099</v>
      </c>
      <c r="F55" s="256">
        <v>1572267</v>
      </c>
      <c r="G55" s="256">
        <v>27006755</v>
      </c>
      <c r="H55" s="256">
        <v>44238361</v>
      </c>
      <c r="I55" s="256">
        <v>0</v>
      </c>
      <c r="J55" s="256">
        <v>0</v>
      </c>
      <c r="K55" s="256">
        <v>0</v>
      </c>
      <c r="L55" s="256">
        <v>0</v>
      </c>
      <c r="M55" s="256">
        <v>1</v>
      </c>
      <c r="N55" s="256">
        <v>0</v>
      </c>
      <c r="O55" s="256">
        <v>0</v>
      </c>
      <c r="P55" s="256">
        <v>0</v>
      </c>
      <c r="Q55" s="256">
        <v>0</v>
      </c>
      <c r="R55" s="256">
        <v>0</v>
      </c>
      <c r="S55" s="256">
        <v>0</v>
      </c>
      <c r="T55" s="257">
        <f t="shared" si="0"/>
        <v>423970938</v>
      </c>
      <c r="U55" s="257">
        <f t="shared" si="0"/>
        <v>22784577</v>
      </c>
      <c r="V55" s="257">
        <f t="shared" si="1"/>
        <v>71245117</v>
      </c>
      <c r="W55" s="257">
        <f t="shared" si="2"/>
        <v>531234</v>
      </c>
    </row>
    <row r="56" spans="1:23" x14ac:dyDescent="0.3">
      <c r="A56" s="241" t="s">
        <v>81</v>
      </c>
      <c r="B56" s="241">
        <v>22006</v>
      </c>
      <c r="C56" s="256">
        <v>459745690</v>
      </c>
      <c r="D56" s="256">
        <v>148085968</v>
      </c>
      <c r="E56" s="256">
        <v>2146530</v>
      </c>
      <c r="F56" s="256">
        <v>4192861</v>
      </c>
      <c r="G56" s="256">
        <v>121242659</v>
      </c>
      <c r="H56" s="256">
        <v>37294894</v>
      </c>
      <c r="I56" s="256">
        <v>0</v>
      </c>
      <c r="J56" s="256">
        <v>0</v>
      </c>
      <c r="K56" s="256">
        <v>0</v>
      </c>
      <c r="L56" s="256">
        <v>0</v>
      </c>
      <c r="M56" s="256">
        <v>0</v>
      </c>
      <c r="N56" s="256">
        <v>0</v>
      </c>
      <c r="O56" s="256">
        <v>0</v>
      </c>
      <c r="P56" s="256">
        <v>0</v>
      </c>
      <c r="Q56" s="256">
        <v>0</v>
      </c>
      <c r="R56" s="256">
        <v>0</v>
      </c>
      <c r="S56" s="256">
        <v>0</v>
      </c>
      <c r="T56" s="257">
        <f t="shared" si="0"/>
        <v>459745690</v>
      </c>
      <c r="U56" s="257">
        <f t="shared" si="0"/>
        <v>148085968</v>
      </c>
      <c r="V56" s="257">
        <f t="shared" si="1"/>
        <v>158537553</v>
      </c>
      <c r="W56" s="257">
        <f t="shared" si="2"/>
        <v>1006725</v>
      </c>
    </row>
    <row r="57" spans="1:23" x14ac:dyDescent="0.3">
      <c r="A57" s="241" t="s">
        <v>49</v>
      </c>
      <c r="B57" s="241">
        <v>23001</v>
      </c>
      <c r="C57" s="256">
        <v>53236570</v>
      </c>
      <c r="D57" s="256">
        <v>39259501</v>
      </c>
      <c r="E57" s="256">
        <v>1495966</v>
      </c>
      <c r="F57" s="256">
        <v>3438310</v>
      </c>
      <c r="G57" s="256">
        <v>40409010</v>
      </c>
      <c r="H57" s="256">
        <v>93937514</v>
      </c>
      <c r="I57" s="256">
        <v>197303</v>
      </c>
      <c r="J57" s="256">
        <v>0</v>
      </c>
      <c r="K57" s="256">
        <v>0</v>
      </c>
      <c r="L57" s="256">
        <v>0</v>
      </c>
      <c r="M57" s="256">
        <v>623023</v>
      </c>
      <c r="N57" s="256">
        <v>0</v>
      </c>
      <c r="O57" s="256">
        <v>0</v>
      </c>
      <c r="P57" s="256">
        <v>0</v>
      </c>
      <c r="Q57" s="256">
        <v>0</v>
      </c>
      <c r="R57" s="256">
        <v>0</v>
      </c>
      <c r="S57" s="256">
        <v>0</v>
      </c>
      <c r="T57" s="257">
        <f t="shared" si="0"/>
        <v>53433873</v>
      </c>
      <c r="U57" s="257">
        <f t="shared" si="0"/>
        <v>39259501</v>
      </c>
      <c r="V57" s="257">
        <f t="shared" si="1"/>
        <v>134969547</v>
      </c>
      <c r="W57" s="257">
        <f t="shared" si="2"/>
        <v>505787</v>
      </c>
    </row>
    <row r="58" spans="1:23" x14ac:dyDescent="0.3">
      <c r="A58" s="241" t="s">
        <v>77</v>
      </c>
      <c r="B58" s="241">
        <v>23002</v>
      </c>
      <c r="C58" s="256">
        <v>56024391</v>
      </c>
      <c r="D58" s="256">
        <v>438960375</v>
      </c>
      <c r="E58" s="256">
        <v>21394317</v>
      </c>
      <c r="F58" s="256">
        <v>28884347</v>
      </c>
      <c r="G58" s="256">
        <v>292221239</v>
      </c>
      <c r="H58" s="256">
        <v>21932765</v>
      </c>
      <c r="I58" s="256">
        <v>584520</v>
      </c>
      <c r="J58" s="256">
        <v>0</v>
      </c>
      <c r="K58" s="256">
        <v>0</v>
      </c>
      <c r="L58" s="256">
        <v>0</v>
      </c>
      <c r="M58" s="256">
        <v>2585839</v>
      </c>
      <c r="N58" s="256">
        <v>0</v>
      </c>
      <c r="O58" s="256">
        <v>0</v>
      </c>
      <c r="P58" s="256">
        <v>0</v>
      </c>
      <c r="Q58" s="256">
        <v>0</v>
      </c>
      <c r="R58" s="256">
        <v>0</v>
      </c>
      <c r="S58" s="256">
        <v>0</v>
      </c>
      <c r="T58" s="257">
        <f t="shared" si="0"/>
        <v>56608911</v>
      </c>
      <c r="U58" s="257">
        <f t="shared" si="0"/>
        <v>438960375</v>
      </c>
      <c r="V58" s="257">
        <f t="shared" si="1"/>
        <v>316739843</v>
      </c>
      <c r="W58" s="257">
        <f t="shared" si="2"/>
        <v>1653822</v>
      </c>
    </row>
    <row r="59" spans="1:23" x14ac:dyDescent="0.3">
      <c r="A59" s="241" t="s">
        <v>110</v>
      </c>
      <c r="B59" s="241">
        <v>23003</v>
      </c>
      <c r="C59" s="256">
        <v>57058112</v>
      </c>
      <c r="D59" s="256">
        <v>16379430</v>
      </c>
      <c r="E59" s="256">
        <v>744353</v>
      </c>
      <c r="F59" s="256">
        <v>2943419</v>
      </c>
      <c r="G59" s="256">
        <v>8000682</v>
      </c>
      <c r="H59" s="256">
        <v>2951562</v>
      </c>
      <c r="I59" s="256">
        <v>241801</v>
      </c>
      <c r="J59" s="256">
        <v>0</v>
      </c>
      <c r="K59" s="256">
        <v>0</v>
      </c>
      <c r="L59" s="256">
        <v>0</v>
      </c>
      <c r="M59" s="256">
        <v>203114</v>
      </c>
      <c r="N59" s="256">
        <v>0</v>
      </c>
      <c r="O59" s="256">
        <v>0</v>
      </c>
      <c r="P59" s="256">
        <v>0</v>
      </c>
      <c r="Q59" s="256">
        <v>0</v>
      </c>
      <c r="R59" s="256">
        <v>0</v>
      </c>
      <c r="S59" s="256">
        <v>0</v>
      </c>
      <c r="T59" s="257">
        <f t="shared" si="0"/>
        <v>57299913</v>
      </c>
      <c r="U59" s="257">
        <f t="shared" si="0"/>
        <v>16379430</v>
      </c>
      <c r="V59" s="257">
        <f t="shared" si="1"/>
        <v>11155358</v>
      </c>
      <c r="W59" s="257">
        <f t="shared" si="2"/>
        <v>96107</v>
      </c>
    </row>
    <row r="60" spans="1:23" x14ac:dyDescent="0.3">
      <c r="A60" s="241" t="s">
        <v>396</v>
      </c>
      <c r="B60" s="241">
        <v>24004</v>
      </c>
      <c r="C60" s="256">
        <v>820229015</v>
      </c>
      <c r="D60" s="256">
        <v>39376407</v>
      </c>
      <c r="E60" s="256">
        <v>393663</v>
      </c>
      <c r="F60" s="256">
        <v>1421678</v>
      </c>
      <c r="G60" s="256">
        <v>21543369</v>
      </c>
      <c r="H60" s="256">
        <v>18633540</v>
      </c>
      <c r="I60" s="256">
        <v>2</v>
      </c>
      <c r="J60" s="256">
        <v>0</v>
      </c>
      <c r="K60" s="256">
        <v>0</v>
      </c>
      <c r="L60" s="256">
        <v>0</v>
      </c>
      <c r="M60" s="256">
        <v>1</v>
      </c>
      <c r="N60" s="256">
        <v>0</v>
      </c>
      <c r="O60" s="256">
        <v>519587</v>
      </c>
      <c r="P60" s="256">
        <v>0</v>
      </c>
      <c r="Q60" s="256">
        <v>0</v>
      </c>
      <c r="R60" s="256">
        <v>0</v>
      </c>
      <c r="S60" s="256">
        <v>0</v>
      </c>
      <c r="T60" s="257">
        <f t="shared" si="0"/>
        <v>820229017</v>
      </c>
      <c r="U60" s="257">
        <f t="shared" si="0"/>
        <v>39895994</v>
      </c>
      <c r="V60" s="257">
        <f t="shared" si="1"/>
        <v>40176910</v>
      </c>
      <c r="W60" s="257">
        <f t="shared" si="2"/>
        <v>723078</v>
      </c>
    </row>
    <row r="61" spans="1:23" x14ac:dyDescent="0.3">
      <c r="A61" s="241" t="s">
        <v>22</v>
      </c>
      <c r="B61" s="241">
        <v>25001</v>
      </c>
      <c r="C61" s="256">
        <v>12220234</v>
      </c>
      <c r="D61" s="256">
        <v>53704084</v>
      </c>
      <c r="E61" s="256">
        <v>456552</v>
      </c>
      <c r="F61" s="256">
        <v>556391</v>
      </c>
      <c r="G61" s="256">
        <v>48677509</v>
      </c>
      <c r="H61" s="256">
        <v>20531382</v>
      </c>
      <c r="I61" s="256">
        <v>0</v>
      </c>
      <c r="J61" s="256">
        <v>0</v>
      </c>
      <c r="K61" s="256">
        <v>0</v>
      </c>
      <c r="L61" s="256">
        <v>0</v>
      </c>
      <c r="M61" s="256">
        <v>0</v>
      </c>
      <c r="N61" s="256">
        <v>0</v>
      </c>
      <c r="O61" s="256">
        <v>0</v>
      </c>
      <c r="P61" s="256">
        <v>0</v>
      </c>
      <c r="Q61" s="256">
        <v>0</v>
      </c>
      <c r="R61" s="256">
        <v>0</v>
      </c>
      <c r="S61" s="256">
        <v>0</v>
      </c>
      <c r="T61" s="257">
        <f t="shared" si="0"/>
        <v>12220234</v>
      </c>
      <c r="U61" s="257">
        <f t="shared" si="0"/>
        <v>53704084</v>
      </c>
      <c r="V61" s="257">
        <f t="shared" si="1"/>
        <v>69208891</v>
      </c>
      <c r="W61" s="257">
        <f t="shared" si="2"/>
        <v>298923</v>
      </c>
    </row>
    <row r="62" spans="1:23" x14ac:dyDescent="0.3">
      <c r="A62" s="241" t="s">
        <v>101</v>
      </c>
      <c r="B62" s="241">
        <v>25004</v>
      </c>
      <c r="C62" s="256">
        <v>534459268</v>
      </c>
      <c r="D62" s="256">
        <v>295928352</v>
      </c>
      <c r="E62" s="256">
        <v>1343792</v>
      </c>
      <c r="F62" s="256">
        <v>3653542</v>
      </c>
      <c r="G62" s="256">
        <v>170544348</v>
      </c>
      <c r="H62" s="256">
        <v>114230854</v>
      </c>
      <c r="I62" s="256">
        <v>0</v>
      </c>
      <c r="J62" s="256">
        <v>0</v>
      </c>
      <c r="K62" s="256">
        <v>0</v>
      </c>
      <c r="L62" s="256">
        <v>0</v>
      </c>
      <c r="M62" s="256">
        <v>3</v>
      </c>
      <c r="N62" s="256">
        <v>0</v>
      </c>
      <c r="O62" s="256">
        <v>0</v>
      </c>
      <c r="P62" s="256">
        <v>0</v>
      </c>
      <c r="Q62" s="256">
        <v>0</v>
      </c>
      <c r="R62" s="256">
        <v>199449</v>
      </c>
      <c r="S62" s="256">
        <v>0</v>
      </c>
      <c r="T62" s="257">
        <f t="shared" si="0"/>
        <v>534459268</v>
      </c>
      <c r="U62" s="257">
        <f t="shared" si="0"/>
        <v>295928352</v>
      </c>
      <c r="V62" s="257">
        <f t="shared" si="1"/>
        <v>284974654</v>
      </c>
      <c r="W62" s="257">
        <f t="shared" si="2"/>
        <v>1660854</v>
      </c>
    </row>
    <row r="63" spans="1:23" x14ac:dyDescent="0.3">
      <c r="A63" s="241" t="s">
        <v>30</v>
      </c>
      <c r="B63" s="241">
        <v>26002</v>
      </c>
      <c r="C63" s="256">
        <v>168938804</v>
      </c>
      <c r="D63" s="256">
        <v>40598733</v>
      </c>
      <c r="E63" s="256">
        <v>758875</v>
      </c>
      <c r="F63" s="256">
        <v>1795742</v>
      </c>
      <c r="G63" s="256">
        <v>23475577</v>
      </c>
      <c r="H63" s="256">
        <v>298</v>
      </c>
      <c r="I63" s="256">
        <v>0</v>
      </c>
      <c r="J63" s="256">
        <v>0</v>
      </c>
      <c r="K63" s="256">
        <v>0</v>
      </c>
      <c r="L63" s="256">
        <v>0</v>
      </c>
      <c r="M63" s="256">
        <v>0</v>
      </c>
      <c r="N63" s="256">
        <v>0</v>
      </c>
      <c r="O63" s="256">
        <v>0</v>
      </c>
      <c r="P63" s="256">
        <v>0</v>
      </c>
      <c r="Q63" s="256">
        <v>0</v>
      </c>
      <c r="R63" s="256">
        <v>0</v>
      </c>
      <c r="S63" s="256">
        <v>0</v>
      </c>
      <c r="T63" s="257">
        <f t="shared" si="0"/>
        <v>168938804</v>
      </c>
      <c r="U63" s="257">
        <f t="shared" si="0"/>
        <v>40598733</v>
      </c>
      <c r="V63" s="257">
        <f t="shared" si="1"/>
        <v>23475875</v>
      </c>
      <c r="W63" s="257">
        <f t="shared" si="2"/>
        <v>243218</v>
      </c>
    </row>
    <row r="64" spans="1:23" x14ac:dyDescent="0.3">
      <c r="A64" s="241" t="s">
        <v>65</v>
      </c>
      <c r="B64" s="241">
        <v>26004</v>
      </c>
      <c r="C64" s="256">
        <v>288583634</v>
      </c>
      <c r="D64" s="256">
        <v>64133495</v>
      </c>
      <c r="E64" s="256">
        <v>1275641</v>
      </c>
      <c r="F64" s="256">
        <v>3197198</v>
      </c>
      <c r="G64" s="256">
        <v>48676683</v>
      </c>
      <c r="H64" s="256">
        <v>518</v>
      </c>
      <c r="I64" s="256">
        <v>0</v>
      </c>
      <c r="J64" s="256">
        <v>93863</v>
      </c>
      <c r="K64" s="256">
        <v>0</v>
      </c>
      <c r="L64" s="256">
        <v>0</v>
      </c>
      <c r="M64" s="256">
        <v>0</v>
      </c>
      <c r="N64" s="256">
        <v>0</v>
      </c>
      <c r="O64" s="256">
        <v>0</v>
      </c>
      <c r="P64" s="256">
        <v>0</v>
      </c>
      <c r="Q64" s="256">
        <v>0</v>
      </c>
      <c r="R64" s="256">
        <v>0</v>
      </c>
      <c r="S64" s="256">
        <v>0</v>
      </c>
      <c r="T64" s="257">
        <f t="shared" si="0"/>
        <v>288583634</v>
      </c>
      <c r="U64" s="257">
        <f t="shared" si="0"/>
        <v>64227358</v>
      </c>
      <c r="V64" s="257">
        <f t="shared" si="1"/>
        <v>48677201</v>
      </c>
      <c r="W64" s="257">
        <f t="shared" si="2"/>
        <v>434111</v>
      </c>
    </row>
    <row r="65" spans="1:23" x14ac:dyDescent="0.3">
      <c r="A65" s="241" t="s">
        <v>125</v>
      </c>
      <c r="B65" s="241">
        <v>26005</v>
      </c>
      <c r="C65" s="256">
        <v>131520183</v>
      </c>
      <c r="D65" s="256">
        <v>21160232</v>
      </c>
      <c r="E65" s="256">
        <v>280637</v>
      </c>
      <c r="F65" s="256">
        <v>1103710</v>
      </c>
      <c r="G65" s="256">
        <v>19310369</v>
      </c>
      <c r="H65" s="256">
        <v>0</v>
      </c>
      <c r="I65" s="256">
        <v>0</v>
      </c>
      <c r="J65" s="256">
        <v>0</v>
      </c>
      <c r="K65" s="256">
        <v>0</v>
      </c>
      <c r="L65" s="256">
        <v>0</v>
      </c>
      <c r="M65" s="256">
        <v>0</v>
      </c>
      <c r="N65" s="256">
        <v>0</v>
      </c>
      <c r="O65" s="256">
        <v>0</v>
      </c>
      <c r="P65" s="256">
        <v>0</v>
      </c>
      <c r="Q65" s="256">
        <v>0</v>
      </c>
      <c r="R65" s="256">
        <v>0</v>
      </c>
      <c r="S65" s="256">
        <v>0</v>
      </c>
      <c r="T65" s="257">
        <f t="shared" si="0"/>
        <v>131520183</v>
      </c>
      <c r="U65" s="257">
        <f t="shared" si="0"/>
        <v>21160232</v>
      </c>
      <c r="V65" s="257">
        <f t="shared" si="1"/>
        <v>19310369</v>
      </c>
      <c r="W65" s="257">
        <f t="shared" si="2"/>
        <v>177079</v>
      </c>
    </row>
    <row r="66" spans="1:23" x14ac:dyDescent="0.3">
      <c r="A66" s="241" t="s">
        <v>67</v>
      </c>
      <c r="B66" s="241">
        <v>27001</v>
      </c>
      <c r="C66" s="256">
        <v>409629590</v>
      </c>
      <c r="D66" s="256">
        <v>48640114</v>
      </c>
      <c r="E66" s="256">
        <v>2392255</v>
      </c>
      <c r="F66" s="256">
        <v>5781723</v>
      </c>
      <c r="G66" s="256">
        <v>36761575</v>
      </c>
      <c r="H66" s="256">
        <v>56144</v>
      </c>
      <c r="I66" s="256">
        <v>0</v>
      </c>
      <c r="J66" s="256">
        <v>0</v>
      </c>
      <c r="K66" s="256">
        <v>0</v>
      </c>
      <c r="L66" s="256">
        <v>0</v>
      </c>
      <c r="M66" s="256">
        <v>0</v>
      </c>
      <c r="N66" s="256">
        <v>0</v>
      </c>
      <c r="O66" s="256">
        <v>0</v>
      </c>
      <c r="P66" s="256">
        <v>0</v>
      </c>
      <c r="Q66" s="256">
        <v>0</v>
      </c>
      <c r="R66" s="256">
        <v>0</v>
      </c>
      <c r="S66" s="256">
        <v>0</v>
      </c>
      <c r="T66" s="257">
        <f t="shared" si="0"/>
        <v>409629590</v>
      </c>
      <c r="U66" s="257">
        <f t="shared" si="0"/>
        <v>48640114</v>
      </c>
      <c r="V66" s="257">
        <f t="shared" si="1"/>
        <v>36817719</v>
      </c>
      <c r="W66" s="257">
        <f t="shared" si="2"/>
        <v>454730</v>
      </c>
    </row>
    <row r="67" spans="1:23" x14ac:dyDescent="0.3">
      <c r="A67" s="241" t="s">
        <v>33</v>
      </c>
      <c r="B67" s="241">
        <v>28001</v>
      </c>
      <c r="C67" s="256">
        <v>181799886</v>
      </c>
      <c r="D67" s="256">
        <v>88727777</v>
      </c>
      <c r="E67" s="256">
        <v>423320</v>
      </c>
      <c r="F67" s="256">
        <v>736955</v>
      </c>
      <c r="G67" s="256">
        <v>24119941</v>
      </c>
      <c r="H67" s="256">
        <v>6643032</v>
      </c>
      <c r="I67" s="256">
        <v>21766</v>
      </c>
      <c r="J67" s="256">
        <v>0</v>
      </c>
      <c r="K67" s="256">
        <v>0</v>
      </c>
      <c r="L67" s="256">
        <v>0</v>
      </c>
      <c r="M67" s="256">
        <v>0</v>
      </c>
      <c r="N67" s="256">
        <v>0</v>
      </c>
      <c r="O67" s="256">
        <v>0</v>
      </c>
      <c r="P67" s="256">
        <v>0</v>
      </c>
      <c r="Q67" s="256">
        <v>0</v>
      </c>
      <c r="R67" s="256">
        <v>0</v>
      </c>
      <c r="S67" s="256">
        <v>0</v>
      </c>
      <c r="T67" s="257">
        <f t="shared" si="0"/>
        <v>181821652</v>
      </c>
      <c r="U67" s="257">
        <f t="shared" si="0"/>
        <v>88727777</v>
      </c>
      <c r="V67" s="257">
        <f t="shared" si="1"/>
        <v>30762973</v>
      </c>
      <c r="W67" s="257">
        <f t="shared" si="2"/>
        <v>345080</v>
      </c>
    </row>
    <row r="68" spans="1:23" x14ac:dyDescent="0.3">
      <c r="A68" s="241" t="s">
        <v>54</v>
      </c>
      <c r="B68" s="241">
        <v>28002</v>
      </c>
      <c r="C68" s="256">
        <v>210069082</v>
      </c>
      <c r="D68" s="256">
        <v>105224884</v>
      </c>
      <c r="E68" s="256">
        <v>770702</v>
      </c>
      <c r="F68" s="256">
        <v>995567</v>
      </c>
      <c r="G68" s="256">
        <v>103119307</v>
      </c>
      <c r="H68" s="256">
        <v>15368909</v>
      </c>
      <c r="I68" s="256">
        <v>0</v>
      </c>
      <c r="J68" s="256">
        <v>0</v>
      </c>
      <c r="K68" s="256">
        <v>0</v>
      </c>
      <c r="L68" s="256">
        <v>0</v>
      </c>
      <c r="M68" s="256">
        <v>0</v>
      </c>
      <c r="N68" s="256">
        <v>0</v>
      </c>
      <c r="O68" s="256">
        <v>0</v>
      </c>
      <c r="P68" s="256">
        <v>0</v>
      </c>
      <c r="Q68" s="256">
        <v>0</v>
      </c>
      <c r="R68" s="256">
        <v>0</v>
      </c>
      <c r="S68" s="256">
        <v>0</v>
      </c>
      <c r="T68" s="257">
        <f t="shared" si="0"/>
        <v>210069082</v>
      </c>
      <c r="U68" s="257">
        <f t="shared" si="0"/>
        <v>105224884</v>
      </c>
      <c r="V68" s="257">
        <f t="shared" si="1"/>
        <v>118488216</v>
      </c>
      <c r="W68" s="257">
        <f t="shared" si="2"/>
        <v>656222</v>
      </c>
    </row>
    <row r="69" spans="1:23" x14ac:dyDescent="0.3">
      <c r="A69" s="241" t="s">
        <v>68</v>
      </c>
      <c r="B69" s="241">
        <v>28003</v>
      </c>
      <c r="C69" s="256">
        <v>470707365</v>
      </c>
      <c r="D69" s="256">
        <v>228654741</v>
      </c>
      <c r="E69" s="256">
        <v>519204</v>
      </c>
      <c r="F69" s="256">
        <v>1710810</v>
      </c>
      <c r="G69" s="256">
        <v>159499721</v>
      </c>
      <c r="H69" s="256">
        <v>5633840</v>
      </c>
      <c r="I69" s="256">
        <v>38616</v>
      </c>
      <c r="J69" s="256">
        <v>1</v>
      </c>
      <c r="K69" s="256">
        <v>0</v>
      </c>
      <c r="L69" s="256">
        <v>0</v>
      </c>
      <c r="M69" s="256">
        <v>0</v>
      </c>
      <c r="N69" s="256">
        <v>0</v>
      </c>
      <c r="O69" s="256">
        <v>0</v>
      </c>
      <c r="P69" s="256">
        <v>0</v>
      </c>
      <c r="Q69" s="256">
        <v>0</v>
      </c>
      <c r="R69" s="256">
        <v>0</v>
      </c>
      <c r="S69" s="256">
        <v>0</v>
      </c>
      <c r="T69" s="257">
        <f t="shared" si="0"/>
        <v>470745981</v>
      </c>
      <c r="U69" s="257">
        <f t="shared" si="0"/>
        <v>228654742</v>
      </c>
      <c r="V69" s="257">
        <f t="shared" si="1"/>
        <v>165133561</v>
      </c>
      <c r="W69" s="257">
        <f t="shared" si="2"/>
        <v>1153146</v>
      </c>
    </row>
    <row r="70" spans="1:23" x14ac:dyDescent="0.3">
      <c r="A70" s="241" t="s">
        <v>102</v>
      </c>
      <c r="B70" s="241">
        <v>29004</v>
      </c>
      <c r="C70" s="256">
        <v>1208037373</v>
      </c>
      <c r="D70" s="256">
        <v>95189273</v>
      </c>
      <c r="E70" s="256">
        <v>768606</v>
      </c>
      <c r="F70" s="256">
        <v>2511328</v>
      </c>
      <c r="G70" s="256">
        <v>66153888</v>
      </c>
      <c r="H70" s="256">
        <v>1759051</v>
      </c>
      <c r="I70" s="256">
        <v>2</v>
      </c>
      <c r="J70" s="256">
        <v>0</v>
      </c>
      <c r="K70" s="256">
        <v>0</v>
      </c>
      <c r="L70" s="256">
        <v>0</v>
      </c>
      <c r="M70" s="256">
        <v>0</v>
      </c>
      <c r="N70" s="256">
        <v>0</v>
      </c>
      <c r="O70" s="256">
        <v>0</v>
      </c>
      <c r="P70" s="256">
        <v>0</v>
      </c>
      <c r="Q70" s="256">
        <v>0</v>
      </c>
      <c r="R70" s="256">
        <v>0</v>
      </c>
      <c r="S70" s="256">
        <v>0</v>
      </c>
      <c r="T70" s="257">
        <f t="shared" si="0"/>
        <v>1208037375</v>
      </c>
      <c r="U70" s="257">
        <f t="shared" si="0"/>
        <v>95189273</v>
      </c>
      <c r="V70" s="257">
        <f t="shared" si="1"/>
        <v>67912939</v>
      </c>
      <c r="W70" s="257">
        <f t="shared" si="2"/>
        <v>1145475</v>
      </c>
    </row>
    <row r="71" spans="1:23" x14ac:dyDescent="0.3">
      <c r="A71" s="241" t="s">
        <v>69</v>
      </c>
      <c r="B71" s="241">
        <v>30001</v>
      </c>
      <c r="C71" s="256">
        <v>301676422</v>
      </c>
      <c r="D71" s="256">
        <v>97547724</v>
      </c>
      <c r="E71" s="256">
        <v>261891</v>
      </c>
      <c r="F71" s="256">
        <v>1803584</v>
      </c>
      <c r="G71" s="256">
        <v>27555524</v>
      </c>
      <c r="H71" s="256">
        <v>14851396</v>
      </c>
      <c r="I71" s="256">
        <v>0</v>
      </c>
      <c r="J71" s="256">
        <v>0</v>
      </c>
      <c r="K71" s="256">
        <v>0</v>
      </c>
      <c r="L71" s="256">
        <v>0</v>
      </c>
      <c r="M71" s="256">
        <v>0</v>
      </c>
      <c r="N71" s="256">
        <v>0</v>
      </c>
      <c r="O71" s="256">
        <v>2552453</v>
      </c>
      <c r="P71" s="256">
        <v>0</v>
      </c>
      <c r="Q71" s="256">
        <v>0</v>
      </c>
      <c r="R71" s="256">
        <v>84868</v>
      </c>
      <c r="S71" s="256">
        <v>0</v>
      </c>
      <c r="T71" s="257">
        <f t="shared" ref="T71:U134" si="3">C71+I71+N71</f>
        <v>301676422</v>
      </c>
      <c r="U71" s="257">
        <f t="shared" si="3"/>
        <v>100100177</v>
      </c>
      <c r="V71" s="257">
        <f t="shared" ref="V71:V134" si="4">G71+H71+M71+R71+S71</f>
        <v>42491788</v>
      </c>
      <c r="W71" s="257">
        <f t="shared" ref="W71:W134" si="5">ROUND(((T71*1.32)/1000+(U71*2.954)/1000+(V71*6.113)/1000)/2,0)</f>
        <v>476831</v>
      </c>
    </row>
    <row r="72" spans="1:23" x14ac:dyDescent="0.3">
      <c r="A72" s="241" t="s">
        <v>27</v>
      </c>
      <c r="B72" s="241">
        <v>30003</v>
      </c>
      <c r="C72" s="256">
        <v>298889626</v>
      </c>
      <c r="D72" s="256">
        <v>69140358</v>
      </c>
      <c r="E72" s="256">
        <v>52065</v>
      </c>
      <c r="F72" s="256">
        <v>552909</v>
      </c>
      <c r="G72" s="256">
        <v>33249283</v>
      </c>
      <c r="H72" s="256">
        <v>17594063</v>
      </c>
      <c r="I72" s="256">
        <v>0</v>
      </c>
      <c r="J72" s="256">
        <v>0</v>
      </c>
      <c r="K72" s="256">
        <v>0</v>
      </c>
      <c r="L72" s="256">
        <v>0</v>
      </c>
      <c r="M72" s="256">
        <v>0</v>
      </c>
      <c r="N72" s="256">
        <v>0</v>
      </c>
      <c r="O72" s="256">
        <v>0</v>
      </c>
      <c r="P72" s="256">
        <v>0</v>
      </c>
      <c r="Q72" s="256">
        <v>0</v>
      </c>
      <c r="R72" s="256">
        <v>0</v>
      </c>
      <c r="S72" s="256">
        <v>0</v>
      </c>
      <c r="T72" s="257">
        <f t="shared" si="3"/>
        <v>298889626</v>
      </c>
      <c r="U72" s="257">
        <f t="shared" si="3"/>
        <v>69140358</v>
      </c>
      <c r="V72" s="257">
        <f t="shared" si="4"/>
        <v>50843346</v>
      </c>
      <c r="W72" s="257">
        <f t="shared" si="5"/>
        <v>454790</v>
      </c>
    </row>
    <row r="73" spans="1:23" x14ac:dyDescent="0.3">
      <c r="A73" s="241" t="s">
        <v>70</v>
      </c>
      <c r="B73" s="241">
        <v>31001</v>
      </c>
      <c r="C73" s="256">
        <v>305999670</v>
      </c>
      <c r="D73" s="256">
        <v>43503601</v>
      </c>
      <c r="E73" s="256">
        <v>5412722</v>
      </c>
      <c r="F73" s="256">
        <v>9916953</v>
      </c>
      <c r="G73" s="256">
        <v>55106584</v>
      </c>
      <c r="H73" s="256">
        <v>5186916</v>
      </c>
      <c r="I73" s="256">
        <v>0</v>
      </c>
      <c r="J73" s="256">
        <v>0</v>
      </c>
      <c r="K73" s="256">
        <v>0</v>
      </c>
      <c r="L73" s="256">
        <v>0</v>
      </c>
      <c r="M73" s="256">
        <v>0</v>
      </c>
      <c r="N73" s="256">
        <v>0</v>
      </c>
      <c r="O73" s="256">
        <v>0</v>
      </c>
      <c r="P73" s="256">
        <v>0</v>
      </c>
      <c r="Q73" s="256">
        <v>0</v>
      </c>
      <c r="R73" s="256">
        <v>0</v>
      </c>
      <c r="S73" s="256">
        <v>0</v>
      </c>
      <c r="T73" s="257">
        <f t="shared" si="3"/>
        <v>305999670</v>
      </c>
      <c r="U73" s="257">
        <f t="shared" si="3"/>
        <v>43503601</v>
      </c>
      <c r="V73" s="257">
        <f t="shared" si="4"/>
        <v>60293500</v>
      </c>
      <c r="W73" s="257">
        <f t="shared" si="5"/>
        <v>450502</v>
      </c>
    </row>
    <row r="74" spans="1:23" x14ac:dyDescent="0.3">
      <c r="A74" s="241" t="s">
        <v>113</v>
      </c>
      <c r="B74" s="241">
        <v>32002</v>
      </c>
      <c r="C74" s="256">
        <v>198356719</v>
      </c>
      <c r="D74" s="256">
        <v>1118826462</v>
      </c>
      <c r="E74" s="256">
        <v>8483678</v>
      </c>
      <c r="F74" s="256">
        <v>31314933</v>
      </c>
      <c r="G74" s="256">
        <v>577435761</v>
      </c>
      <c r="H74" s="256">
        <v>3725231</v>
      </c>
      <c r="I74" s="256">
        <v>2</v>
      </c>
      <c r="J74" s="256">
        <v>0</v>
      </c>
      <c r="K74" s="256">
        <v>0</v>
      </c>
      <c r="L74" s="256">
        <v>0</v>
      </c>
      <c r="M74" s="256">
        <v>3</v>
      </c>
      <c r="N74" s="256">
        <v>0</v>
      </c>
      <c r="O74" s="256">
        <v>0</v>
      </c>
      <c r="P74" s="256">
        <v>0</v>
      </c>
      <c r="Q74" s="256">
        <v>0</v>
      </c>
      <c r="R74" s="256">
        <v>0</v>
      </c>
      <c r="S74" s="256">
        <v>0</v>
      </c>
      <c r="T74" s="257">
        <f t="shared" si="3"/>
        <v>198356721</v>
      </c>
      <c r="U74" s="257">
        <f t="shared" si="3"/>
        <v>1118826462</v>
      </c>
      <c r="V74" s="257">
        <f t="shared" si="4"/>
        <v>581160995</v>
      </c>
      <c r="W74" s="257">
        <f t="shared" si="5"/>
        <v>3559741</v>
      </c>
    </row>
    <row r="75" spans="1:23" x14ac:dyDescent="0.3">
      <c r="A75" s="241" t="s">
        <v>61</v>
      </c>
      <c r="B75" s="241">
        <v>33001</v>
      </c>
      <c r="C75" s="256">
        <v>316226930</v>
      </c>
      <c r="D75" s="256">
        <v>125726412</v>
      </c>
      <c r="E75" s="256">
        <v>292239</v>
      </c>
      <c r="F75" s="256">
        <v>1067042</v>
      </c>
      <c r="G75" s="256">
        <v>42843335</v>
      </c>
      <c r="H75" s="256">
        <v>17138305</v>
      </c>
      <c r="I75" s="256">
        <v>2</v>
      </c>
      <c r="J75" s="256">
        <v>0</v>
      </c>
      <c r="K75" s="256">
        <v>0</v>
      </c>
      <c r="L75" s="256">
        <v>0</v>
      </c>
      <c r="M75" s="256">
        <v>0</v>
      </c>
      <c r="N75" s="256">
        <v>0</v>
      </c>
      <c r="O75" s="256">
        <v>0</v>
      </c>
      <c r="P75" s="256">
        <v>0</v>
      </c>
      <c r="Q75" s="256">
        <v>0</v>
      </c>
      <c r="R75" s="256">
        <v>0</v>
      </c>
      <c r="S75" s="256">
        <v>0</v>
      </c>
      <c r="T75" s="257">
        <f t="shared" si="3"/>
        <v>316226932</v>
      </c>
      <c r="U75" s="257">
        <f t="shared" si="3"/>
        <v>125726412</v>
      </c>
      <c r="V75" s="257">
        <f t="shared" si="4"/>
        <v>59981640</v>
      </c>
      <c r="W75" s="257">
        <f t="shared" si="5"/>
        <v>577742</v>
      </c>
    </row>
    <row r="76" spans="1:23" x14ac:dyDescent="0.3">
      <c r="A76" s="241" t="s">
        <v>100</v>
      </c>
      <c r="B76" s="241">
        <v>33002</v>
      </c>
      <c r="C76" s="256">
        <v>222275245</v>
      </c>
      <c r="D76" s="256">
        <v>47911254</v>
      </c>
      <c r="E76" s="256">
        <v>111209</v>
      </c>
      <c r="F76" s="256">
        <v>600415</v>
      </c>
      <c r="G76" s="256">
        <v>16082852</v>
      </c>
      <c r="H76" s="256">
        <v>27174293</v>
      </c>
      <c r="I76" s="256">
        <v>0</v>
      </c>
      <c r="J76" s="256">
        <v>0</v>
      </c>
      <c r="K76" s="256">
        <v>0</v>
      </c>
      <c r="L76" s="256">
        <v>0</v>
      </c>
      <c r="M76" s="256">
        <v>0</v>
      </c>
      <c r="N76" s="256">
        <v>0</v>
      </c>
      <c r="O76" s="256">
        <v>0</v>
      </c>
      <c r="P76" s="256">
        <v>0</v>
      </c>
      <c r="Q76" s="256">
        <v>0</v>
      </c>
      <c r="R76" s="256">
        <v>0</v>
      </c>
      <c r="S76" s="256">
        <v>0</v>
      </c>
      <c r="T76" s="257">
        <f t="shared" si="3"/>
        <v>222275245</v>
      </c>
      <c r="U76" s="257">
        <f t="shared" si="3"/>
        <v>47911254</v>
      </c>
      <c r="V76" s="257">
        <f t="shared" si="4"/>
        <v>43257145</v>
      </c>
      <c r="W76" s="257">
        <f t="shared" si="5"/>
        <v>349682</v>
      </c>
    </row>
    <row r="77" spans="1:23" x14ac:dyDescent="0.3">
      <c r="A77" s="241" t="s">
        <v>112</v>
      </c>
      <c r="B77" s="241">
        <v>33003</v>
      </c>
      <c r="C77" s="256">
        <v>406120763</v>
      </c>
      <c r="D77" s="256">
        <v>144530172</v>
      </c>
      <c r="E77" s="256">
        <v>212504</v>
      </c>
      <c r="F77" s="256">
        <v>799133</v>
      </c>
      <c r="G77" s="256">
        <v>37746290</v>
      </c>
      <c r="H77" s="256">
        <v>4637701</v>
      </c>
      <c r="I77" s="256">
        <v>0</v>
      </c>
      <c r="J77" s="256">
        <v>0</v>
      </c>
      <c r="K77" s="256">
        <v>0</v>
      </c>
      <c r="L77" s="256">
        <v>0</v>
      </c>
      <c r="M77" s="256">
        <v>0</v>
      </c>
      <c r="N77" s="256">
        <v>0</v>
      </c>
      <c r="O77" s="256">
        <v>0</v>
      </c>
      <c r="P77" s="256">
        <v>0</v>
      </c>
      <c r="Q77" s="256">
        <v>0</v>
      </c>
      <c r="R77" s="256">
        <v>0</v>
      </c>
      <c r="S77" s="256">
        <v>0</v>
      </c>
      <c r="T77" s="257">
        <f t="shared" si="3"/>
        <v>406120763</v>
      </c>
      <c r="U77" s="257">
        <f t="shared" si="3"/>
        <v>144530172</v>
      </c>
      <c r="V77" s="257">
        <f t="shared" si="4"/>
        <v>42383991</v>
      </c>
      <c r="W77" s="257">
        <f t="shared" si="5"/>
        <v>611057</v>
      </c>
    </row>
    <row r="78" spans="1:23" x14ac:dyDescent="0.3">
      <c r="A78" s="241" t="s">
        <v>402</v>
      </c>
      <c r="B78" s="241">
        <v>33005</v>
      </c>
      <c r="C78" s="256">
        <v>329755405</v>
      </c>
      <c r="D78" s="256">
        <v>37736112</v>
      </c>
      <c r="E78" s="256">
        <v>84641</v>
      </c>
      <c r="F78" s="256">
        <v>513859</v>
      </c>
      <c r="G78" s="256">
        <v>25320886</v>
      </c>
      <c r="H78" s="256">
        <v>4171525</v>
      </c>
      <c r="I78" s="256">
        <v>0</v>
      </c>
      <c r="J78" s="256">
        <v>0</v>
      </c>
      <c r="K78" s="256">
        <v>0</v>
      </c>
      <c r="L78" s="256">
        <v>0</v>
      </c>
      <c r="M78" s="256">
        <v>0</v>
      </c>
      <c r="N78" s="256">
        <v>0</v>
      </c>
      <c r="O78" s="256">
        <v>0</v>
      </c>
      <c r="P78" s="256">
        <v>0</v>
      </c>
      <c r="Q78" s="256">
        <v>0</v>
      </c>
      <c r="R78" s="256">
        <v>0</v>
      </c>
      <c r="S78" s="256">
        <v>0</v>
      </c>
      <c r="T78" s="257">
        <f t="shared" si="3"/>
        <v>329755405</v>
      </c>
      <c r="U78" s="257">
        <f t="shared" si="3"/>
        <v>37736112</v>
      </c>
      <c r="V78" s="257">
        <f t="shared" si="4"/>
        <v>29492411</v>
      </c>
      <c r="W78" s="257">
        <f t="shared" si="5"/>
        <v>363518</v>
      </c>
    </row>
    <row r="79" spans="1:23" x14ac:dyDescent="0.3">
      <c r="A79" s="241" t="s">
        <v>74</v>
      </c>
      <c r="B79" s="241">
        <v>34002</v>
      </c>
      <c r="C79" s="256">
        <v>750833745</v>
      </c>
      <c r="D79" s="256">
        <v>39036035</v>
      </c>
      <c r="E79" s="256">
        <v>969489</v>
      </c>
      <c r="F79" s="256">
        <v>2706381</v>
      </c>
      <c r="G79" s="256">
        <v>40385987</v>
      </c>
      <c r="H79" s="256">
        <v>2559325</v>
      </c>
      <c r="I79" s="256">
        <v>1</v>
      </c>
      <c r="J79" s="256">
        <v>1</v>
      </c>
      <c r="K79" s="256">
        <v>0</v>
      </c>
      <c r="L79" s="256">
        <v>0</v>
      </c>
      <c r="M79" s="256">
        <v>0</v>
      </c>
      <c r="N79" s="256">
        <v>0</v>
      </c>
      <c r="O79" s="256">
        <v>0</v>
      </c>
      <c r="P79" s="256">
        <v>0</v>
      </c>
      <c r="Q79" s="256">
        <v>0</v>
      </c>
      <c r="R79" s="256">
        <v>0</v>
      </c>
      <c r="S79" s="256">
        <v>0</v>
      </c>
      <c r="T79" s="257">
        <f t="shared" si="3"/>
        <v>750833746</v>
      </c>
      <c r="U79" s="257">
        <f t="shared" si="3"/>
        <v>39036036</v>
      </c>
      <c r="V79" s="257">
        <f t="shared" si="4"/>
        <v>42945312</v>
      </c>
      <c r="W79" s="257">
        <f t="shared" si="5"/>
        <v>684469</v>
      </c>
    </row>
    <row r="80" spans="1:23" x14ac:dyDescent="0.3">
      <c r="A80" s="241" t="s">
        <v>85</v>
      </c>
      <c r="B80" s="241">
        <v>35002</v>
      </c>
      <c r="C80" s="256">
        <v>314523364</v>
      </c>
      <c r="D80" s="256">
        <v>23457093</v>
      </c>
      <c r="E80" s="256">
        <v>2238348</v>
      </c>
      <c r="F80" s="256">
        <v>8553019</v>
      </c>
      <c r="G80" s="256">
        <v>26822053</v>
      </c>
      <c r="H80" s="256">
        <v>63165</v>
      </c>
      <c r="I80" s="256">
        <v>0</v>
      </c>
      <c r="J80" s="256">
        <v>0</v>
      </c>
      <c r="K80" s="256">
        <v>0</v>
      </c>
      <c r="L80" s="256">
        <v>0</v>
      </c>
      <c r="M80" s="256">
        <v>0</v>
      </c>
      <c r="N80" s="256">
        <v>0</v>
      </c>
      <c r="O80" s="256">
        <v>0</v>
      </c>
      <c r="P80" s="256">
        <v>0</v>
      </c>
      <c r="Q80" s="256">
        <v>0</v>
      </c>
      <c r="R80" s="256">
        <v>0</v>
      </c>
      <c r="S80" s="256">
        <v>0</v>
      </c>
      <c r="T80" s="257">
        <f t="shared" si="3"/>
        <v>314523364</v>
      </c>
      <c r="U80" s="257">
        <f t="shared" si="3"/>
        <v>23457093</v>
      </c>
      <c r="V80" s="257">
        <f t="shared" si="4"/>
        <v>26885218</v>
      </c>
      <c r="W80" s="257">
        <f t="shared" si="5"/>
        <v>324406</v>
      </c>
    </row>
    <row r="81" spans="1:23" x14ac:dyDescent="0.3">
      <c r="A81" s="241" t="s">
        <v>141</v>
      </c>
      <c r="B81" s="241">
        <v>36002</v>
      </c>
      <c r="C81" s="256">
        <v>682333152</v>
      </c>
      <c r="D81" s="256">
        <v>50225759</v>
      </c>
      <c r="E81" s="256">
        <v>301444</v>
      </c>
      <c r="F81" s="256">
        <v>1805391</v>
      </c>
      <c r="G81" s="256">
        <v>29529558</v>
      </c>
      <c r="H81" s="256">
        <v>524594</v>
      </c>
      <c r="I81" s="256">
        <v>0</v>
      </c>
      <c r="J81" s="256">
        <v>0</v>
      </c>
      <c r="K81" s="256">
        <v>0</v>
      </c>
      <c r="L81" s="256">
        <v>0</v>
      </c>
      <c r="M81" s="256">
        <v>0</v>
      </c>
      <c r="N81" s="256">
        <v>0</v>
      </c>
      <c r="O81" s="256">
        <v>0</v>
      </c>
      <c r="P81" s="256">
        <v>0</v>
      </c>
      <c r="Q81" s="256">
        <v>0</v>
      </c>
      <c r="R81" s="256">
        <v>0</v>
      </c>
      <c r="S81" s="256">
        <v>0</v>
      </c>
      <c r="T81" s="257">
        <f t="shared" si="3"/>
        <v>682333152</v>
      </c>
      <c r="U81" s="257">
        <f t="shared" si="3"/>
        <v>50225759</v>
      </c>
      <c r="V81" s="257">
        <f t="shared" si="4"/>
        <v>30054152</v>
      </c>
      <c r="W81" s="257">
        <f t="shared" si="5"/>
        <v>616384</v>
      </c>
    </row>
    <row r="82" spans="1:23" x14ac:dyDescent="0.3">
      <c r="A82" s="241" t="s">
        <v>84</v>
      </c>
      <c r="B82" s="241">
        <v>37003</v>
      </c>
      <c r="C82" s="256">
        <v>276755413</v>
      </c>
      <c r="D82" s="256">
        <v>20622274</v>
      </c>
      <c r="E82" s="256">
        <v>897796</v>
      </c>
      <c r="F82" s="256">
        <v>2213412</v>
      </c>
      <c r="G82" s="256">
        <v>25720388</v>
      </c>
      <c r="H82" s="256">
        <v>20583</v>
      </c>
      <c r="I82" s="256">
        <v>0</v>
      </c>
      <c r="J82" s="256">
        <v>0</v>
      </c>
      <c r="K82" s="256">
        <v>0</v>
      </c>
      <c r="L82" s="256">
        <v>0</v>
      </c>
      <c r="M82" s="256">
        <v>0</v>
      </c>
      <c r="N82" s="256">
        <v>0</v>
      </c>
      <c r="O82" s="256">
        <v>0</v>
      </c>
      <c r="P82" s="256">
        <v>0</v>
      </c>
      <c r="Q82" s="256">
        <v>0</v>
      </c>
      <c r="R82" s="256">
        <v>0</v>
      </c>
      <c r="S82" s="256">
        <v>0</v>
      </c>
      <c r="T82" s="257">
        <f t="shared" si="3"/>
        <v>276755413</v>
      </c>
      <c r="U82" s="257">
        <f t="shared" si="3"/>
        <v>20622274</v>
      </c>
      <c r="V82" s="257">
        <f t="shared" si="4"/>
        <v>25740971</v>
      </c>
      <c r="W82" s="257">
        <f t="shared" si="5"/>
        <v>291795</v>
      </c>
    </row>
    <row r="83" spans="1:23" x14ac:dyDescent="0.3">
      <c r="A83" s="241" t="s">
        <v>15</v>
      </c>
      <c r="B83" s="241">
        <v>38001</v>
      </c>
      <c r="C83" s="256">
        <v>273815512</v>
      </c>
      <c r="D83" s="256">
        <v>127667258</v>
      </c>
      <c r="E83" s="256">
        <v>573755</v>
      </c>
      <c r="F83" s="256">
        <v>1581478</v>
      </c>
      <c r="G83" s="256">
        <v>60413907</v>
      </c>
      <c r="H83" s="256">
        <v>8418256</v>
      </c>
      <c r="I83" s="256">
        <v>0</v>
      </c>
      <c r="J83" s="256">
        <v>0</v>
      </c>
      <c r="K83" s="256">
        <v>0</v>
      </c>
      <c r="L83" s="256">
        <v>0</v>
      </c>
      <c r="M83" s="256">
        <v>0</v>
      </c>
      <c r="N83" s="256">
        <v>0</v>
      </c>
      <c r="O83" s="256">
        <v>0</v>
      </c>
      <c r="P83" s="256">
        <v>0</v>
      </c>
      <c r="Q83" s="256">
        <v>0</v>
      </c>
      <c r="R83" s="256">
        <v>0</v>
      </c>
      <c r="S83" s="256">
        <v>0</v>
      </c>
      <c r="T83" s="257">
        <f t="shared" si="3"/>
        <v>273815512</v>
      </c>
      <c r="U83" s="257">
        <f t="shared" si="3"/>
        <v>127667258</v>
      </c>
      <c r="V83" s="257">
        <f t="shared" si="4"/>
        <v>68832163</v>
      </c>
      <c r="W83" s="257">
        <f t="shared" si="5"/>
        <v>579668</v>
      </c>
    </row>
    <row r="84" spans="1:23" x14ac:dyDescent="0.3">
      <c r="A84" s="241" t="s">
        <v>41</v>
      </c>
      <c r="B84" s="241">
        <v>38002</v>
      </c>
      <c r="C84" s="256">
        <v>381026138</v>
      </c>
      <c r="D84" s="256">
        <v>95230377</v>
      </c>
      <c r="E84" s="256">
        <v>516226</v>
      </c>
      <c r="F84" s="256">
        <v>939858</v>
      </c>
      <c r="G84" s="256">
        <v>55782896</v>
      </c>
      <c r="H84" s="256">
        <v>17690165</v>
      </c>
      <c r="I84" s="256">
        <v>0</v>
      </c>
      <c r="J84" s="256">
        <v>0</v>
      </c>
      <c r="K84" s="256">
        <v>0</v>
      </c>
      <c r="L84" s="256">
        <v>0</v>
      </c>
      <c r="M84" s="256">
        <v>0</v>
      </c>
      <c r="N84" s="256">
        <v>0</v>
      </c>
      <c r="O84" s="256">
        <v>0</v>
      </c>
      <c r="P84" s="256">
        <v>0</v>
      </c>
      <c r="Q84" s="256">
        <v>0</v>
      </c>
      <c r="R84" s="256">
        <v>0</v>
      </c>
      <c r="S84" s="256">
        <v>0</v>
      </c>
      <c r="T84" s="257">
        <f t="shared" si="3"/>
        <v>381026138</v>
      </c>
      <c r="U84" s="257">
        <f t="shared" si="3"/>
        <v>95230377</v>
      </c>
      <c r="V84" s="257">
        <f t="shared" si="4"/>
        <v>73473061</v>
      </c>
      <c r="W84" s="257">
        <f t="shared" si="5"/>
        <v>616703</v>
      </c>
    </row>
    <row r="85" spans="1:23" x14ac:dyDescent="0.3">
      <c r="A85" s="241" t="s">
        <v>87</v>
      </c>
      <c r="B85" s="241">
        <v>38003</v>
      </c>
      <c r="C85" s="256">
        <v>257655767</v>
      </c>
      <c r="D85" s="256">
        <v>62859801</v>
      </c>
      <c r="E85" s="256">
        <v>986254</v>
      </c>
      <c r="F85" s="256">
        <v>741810</v>
      </c>
      <c r="G85" s="256">
        <v>39563167</v>
      </c>
      <c r="H85" s="256">
        <v>5446527</v>
      </c>
      <c r="I85" s="256">
        <v>0</v>
      </c>
      <c r="J85" s="256">
        <v>0</v>
      </c>
      <c r="K85" s="256">
        <v>0</v>
      </c>
      <c r="L85" s="256">
        <v>0</v>
      </c>
      <c r="M85" s="256">
        <v>0</v>
      </c>
      <c r="N85" s="256">
        <v>0</v>
      </c>
      <c r="O85" s="256">
        <v>0</v>
      </c>
      <c r="P85" s="256">
        <v>0</v>
      </c>
      <c r="Q85" s="256">
        <v>0</v>
      </c>
      <c r="R85" s="256">
        <v>0</v>
      </c>
      <c r="S85" s="256">
        <v>0</v>
      </c>
      <c r="T85" s="257">
        <f t="shared" si="3"/>
        <v>257655767</v>
      </c>
      <c r="U85" s="257">
        <f t="shared" si="3"/>
        <v>62859801</v>
      </c>
      <c r="V85" s="257">
        <f t="shared" si="4"/>
        <v>45009694</v>
      </c>
      <c r="W85" s="257">
        <f t="shared" si="5"/>
        <v>400469</v>
      </c>
    </row>
    <row r="86" spans="1:23" x14ac:dyDescent="0.3">
      <c r="A86" s="241" t="s">
        <v>36</v>
      </c>
      <c r="B86" s="241">
        <v>39001</v>
      </c>
      <c r="C86" s="256">
        <v>170067587</v>
      </c>
      <c r="D86" s="256">
        <v>203768321</v>
      </c>
      <c r="E86" s="256">
        <v>1106415</v>
      </c>
      <c r="F86" s="256">
        <v>1172400</v>
      </c>
      <c r="G86" s="256">
        <v>123366353</v>
      </c>
      <c r="H86" s="256">
        <v>5662813</v>
      </c>
      <c r="I86" s="256">
        <v>17</v>
      </c>
      <c r="J86" s="256">
        <v>0</v>
      </c>
      <c r="K86" s="256">
        <v>0</v>
      </c>
      <c r="L86" s="256">
        <v>0</v>
      </c>
      <c r="M86" s="256">
        <v>1</v>
      </c>
      <c r="N86" s="256">
        <v>0</v>
      </c>
      <c r="O86" s="256">
        <v>0</v>
      </c>
      <c r="P86" s="256">
        <v>0</v>
      </c>
      <c r="Q86" s="256">
        <v>0</v>
      </c>
      <c r="R86" s="256">
        <v>0</v>
      </c>
      <c r="S86" s="256">
        <v>0</v>
      </c>
      <c r="T86" s="257">
        <f t="shared" si="3"/>
        <v>170067604</v>
      </c>
      <c r="U86" s="257">
        <f t="shared" si="3"/>
        <v>203768321</v>
      </c>
      <c r="V86" s="257">
        <f t="shared" si="4"/>
        <v>129029167</v>
      </c>
      <c r="W86" s="257">
        <f t="shared" si="5"/>
        <v>807588</v>
      </c>
    </row>
    <row r="87" spans="1:23" x14ac:dyDescent="0.3">
      <c r="A87" s="241" t="s">
        <v>94</v>
      </c>
      <c r="B87" s="241">
        <v>39002</v>
      </c>
      <c r="C87" s="256">
        <v>312019190</v>
      </c>
      <c r="D87" s="256">
        <v>672953759</v>
      </c>
      <c r="E87" s="256">
        <v>2321595</v>
      </c>
      <c r="F87" s="256">
        <v>2721335</v>
      </c>
      <c r="G87" s="256">
        <v>335273060</v>
      </c>
      <c r="H87" s="256">
        <v>29751223</v>
      </c>
      <c r="I87" s="256">
        <v>58</v>
      </c>
      <c r="J87" s="256">
        <v>0</v>
      </c>
      <c r="K87" s="256">
        <v>0</v>
      </c>
      <c r="L87" s="256">
        <v>0</v>
      </c>
      <c r="M87" s="256">
        <v>103</v>
      </c>
      <c r="N87" s="256">
        <v>0</v>
      </c>
      <c r="O87" s="256">
        <v>0</v>
      </c>
      <c r="P87" s="256">
        <v>0</v>
      </c>
      <c r="Q87" s="256">
        <v>0</v>
      </c>
      <c r="R87" s="256">
        <v>0</v>
      </c>
      <c r="S87" s="256">
        <v>0</v>
      </c>
      <c r="T87" s="257">
        <f t="shared" si="3"/>
        <v>312019248</v>
      </c>
      <c r="U87" s="257">
        <f t="shared" si="3"/>
        <v>672953759</v>
      </c>
      <c r="V87" s="257">
        <f t="shared" si="4"/>
        <v>365024386</v>
      </c>
      <c r="W87" s="257">
        <f t="shared" si="5"/>
        <v>2315582</v>
      </c>
    </row>
    <row r="88" spans="1:23" x14ac:dyDescent="0.3">
      <c r="A88" s="241" t="s">
        <v>446</v>
      </c>
      <c r="B88" s="241">
        <v>39006</v>
      </c>
      <c r="C88" s="256">
        <v>434342022</v>
      </c>
      <c r="D88" s="256">
        <v>82923786</v>
      </c>
      <c r="E88" s="256">
        <v>179935</v>
      </c>
      <c r="F88" s="256">
        <v>828747</v>
      </c>
      <c r="G88" s="256">
        <v>15292148</v>
      </c>
      <c r="H88" s="256">
        <v>4216169</v>
      </c>
      <c r="I88" s="256">
        <v>254</v>
      </c>
      <c r="J88" s="256">
        <v>0</v>
      </c>
      <c r="K88" s="256">
        <v>0</v>
      </c>
      <c r="L88" s="256">
        <v>0</v>
      </c>
      <c r="M88" s="256">
        <v>0</v>
      </c>
      <c r="N88" s="256">
        <v>0</v>
      </c>
      <c r="O88" s="256">
        <v>0</v>
      </c>
      <c r="P88" s="256">
        <v>0</v>
      </c>
      <c r="Q88" s="256">
        <v>0</v>
      </c>
      <c r="R88" s="256">
        <v>0</v>
      </c>
      <c r="S88" s="256">
        <v>0</v>
      </c>
      <c r="T88" s="257">
        <f t="shared" si="3"/>
        <v>434342276</v>
      </c>
      <c r="U88" s="257">
        <f t="shared" si="3"/>
        <v>82923786</v>
      </c>
      <c r="V88" s="257">
        <f t="shared" si="4"/>
        <v>19508317</v>
      </c>
      <c r="W88" s="257">
        <f t="shared" si="5"/>
        <v>468772</v>
      </c>
    </row>
    <row r="89" spans="1:23" x14ac:dyDescent="0.3">
      <c r="A89" s="241" t="s">
        <v>89</v>
      </c>
      <c r="B89" s="241">
        <v>40001</v>
      </c>
      <c r="C89" s="256">
        <v>6199697</v>
      </c>
      <c r="D89" s="256">
        <v>515098305</v>
      </c>
      <c r="E89" s="256">
        <v>4091240</v>
      </c>
      <c r="F89" s="256">
        <v>9277586</v>
      </c>
      <c r="G89" s="256">
        <v>1083220080</v>
      </c>
      <c r="H89" s="256">
        <v>27124310</v>
      </c>
      <c r="I89" s="256">
        <v>0</v>
      </c>
      <c r="J89" s="256">
        <v>0</v>
      </c>
      <c r="K89" s="256">
        <v>0</v>
      </c>
      <c r="L89" s="256">
        <v>0</v>
      </c>
      <c r="M89" s="256">
        <v>10</v>
      </c>
      <c r="N89" s="256">
        <v>0</v>
      </c>
      <c r="O89" s="256">
        <v>0</v>
      </c>
      <c r="P89" s="256">
        <v>0</v>
      </c>
      <c r="Q89" s="256">
        <v>0</v>
      </c>
      <c r="R89" s="256">
        <v>0</v>
      </c>
      <c r="S89" s="256">
        <v>0</v>
      </c>
      <c r="T89" s="257">
        <f t="shared" si="3"/>
        <v>6199697</v>
      </c>
      <c r="U89" s="257">
        <f t="shared" si="3"/>
        <v>515098305</v>
      </c>
      <c r="V89" s="257">
        <f t="shared" si="4"/>
        <v>1110344400</v>
      </c>
      <c r="W89" s="257">
        <f t="shared" si="5"/>
        <v>4158660</v>
      </c>
    </row>
    <row r="90" spans="1:23" x14ac:dyDescent="0.3">
      <c r="A90" s="241" t="s">
        <v>126</v>
      </c>
      <c r="B90" s="241">
        <v>40002</v>
      </c>
      <c r="C90" s="256">
        <v>47671312</v>
      </c>
      <c r="D90" s="256">
        <v>1529675842</v>
      </c>
      <c r="E90" s="256">
        <v>15238991</v>
      </c>
      <c r="F90" s="256">
        <v>39984894</v>
      </c>
      <c r="G90" s="256">
        <v>755156340</v>
      </c>
      <c r="H90" s="256">
        <v>32000355</v>
      </c>
      <c r="I90" s="256">
        <v>0</v>
      </c>
      <c r="J90" s="256">
        <v>0</v>
      </c>
      <c r="K90" s="256">
        <v>0</v>
      </c>
      <c r="L90" s="256">
        <v>0</v>
      </c>
      <c r="M90" s="256">
        <v>4</v>
      </c>
      <c r="N90" s="256">
        <v>0</v>
      </c>
      <c r="O90" s="256">
        <v>0</v>
      </c>
      <c r="P90" s="256">
        <v>0</v>
      </c>
      <c r="Q90" s="256">
        <v>0</v>
      </c>
      <c r="R90" s="256">
        <v>0</v>
      </c>
      <c r="S90" s="256">
        <v>0</v>
      </c>
      <c r="T90" s="257">
        <f t="shared" si="3"/>
        <v>47671312</v>
      </c>
      <c r="U90" s="257">
        <f t="shared" si="3"/>
        <v>1529675842</v>
      </c>
      <c r="V90" s="257">
        <f t="shared" si="4"/>
        <v>787156699</v>
      </c>
      <c r="W90" s="257">
        <f t="shared" si="5"/>
        <v>4696739</v>
      </c>
    </row>
    <row r="91" spans="1:23" x14ac:dyDescent="0.3">
      <c r="A91" s="241" t="s">
        <v>32</v>
      </c>
      <c r="B91" s="241">
        <v>41001</v>
      </c>
      <c r="C91" s="256">
        <v>267605759</v>
      </c>
      <c r="D91" s="256">
        <v>549199244</v>
      </c>
      <c r="E91" s="256">
        <v>272466</v>
      </c>
      <c r="F91" s="256">
        <v>1330323</v>
      </c>
      <c r="G91" s="256">
        <v>159164482</v>
      </c>
      <c r="H91" s="256">
        <v>19832448</v>
      </c>
      <c r="I91" s="256">
        <v>0</v>
      </c>
      <c r="J91" s="256">
        <v>0</v>
      </c>
      <c r="K91" s="256">
        <v>0</v>
      </c>
      <c r="L91" s="256">
        <v>0</v>
      </c>
      <c r="M91" s="256">
        <v>366688</v>
      </c>
      <c r="N91" s="256">
        <v>0</v>
      </c>
      <c r="O91" s="256">
        <v>0</v>
      </c>
      <c r="P91" s="256">
        <v>0</v>
      </c>
      <c r="Q91" s="256">
        <v>0</v>
      </c>
      <c r="R91" s="256">
        <v>0</v>
      </c>
      <c r="S91" s="256">
        <v>0</v>
      </c>
      <c r="T91" s="257">
        <f t="shared" si="3"/>
        <v>267605759</v>
      </c>
      <c r="U91" s="257">
        <f t="shared" si="3"/>
        <v>549199244</v>
      </c>
      <c r="V91" s="257">
        <f t="shared" si="4"/>
        <v>179363618</v>
      </c>
      <c r="W91" s="257">
        <f t="shared" si="5"/>
        <v>1536012</v>
      </c>
    </row>
    <row r="92" spans="1:23" x14ac:dyDescent="0.3">
      <c r="A92" s="241" t="s">
        <v>71</v>
      </c>
      <c r="B92" s="241">
        <v>41002</v>
      </c>
      <c r="C92" s="256">
        <v>76736985</v>
      </c>
      <c r="D92" s="256">
        <v>3557719519</v>
      </c>
      <c r="E92" s="256">
        <v>1809009</v>
      </c>
      <c r="F92" s="256">
        <v>9559660</v>
      </c>
      <c r="G92" s="256">
        <v>1439549542</v>
      </c>
      <c r="H92" s="256">
        <v>45242142</v>
      </c>
      <c r="I92" s="256">
        <v>0</v>
      </c>
      <c r="J92" s="256">
        <v>0</v>
      </c>
      <c r="K92" s="256">
        <v>0</v>
      </c>
      <c r="L92" s="256">
        <v>0</v>
      </c>
      <c r="M92" s="256">
        <v>4</v>
      </c>
      <c r="N92" s="256">
        <v>0</v>
      </c>
      <c r="O92" s="256">
        <v>0</v>
      </c>
      <c r="P92" s="256">
        <v>0</v>
      </c>
      <c r="Q92" s="256">
        <v>0</v>
      </c>
      <c r="R92" s="256">
        <v>0</v>
      </c>
      <c r="S92" s="256">
        <v>0</v>
      </c>
      <c r="T92" s="257">
        <f t="shared" si="3"/>
        <v>76736985</v>
      </c>
      <c r="U92" s="257">
        <f t="shared" si="3"/>
        <v>3557719519</v>
      </c>
      <c r="V92" s="257">
        <f t="shared" si="4"/>
        <v>1484791688</v>
      </c>
      <c r="W92" s="257">
        <f t="shared" si="5"/>
        <v>9843664</v>
      </c>
    </row>
    <row r="93" spans="1:23" x14ac:dyDescent="0.3">
      <c r="A93" s="241" t="s">
        <v>91</v>
      </c>
      <c r="B93" s="241">
        <v>41004</v>
      </c>
      <c r="C93" s="256">
        <v>258963390</v>
      </c>
      <c r="D93" s="256">
        <v>568274042</v>
      </c>
      <c r="E93" s="256">
        <v>925741</v>
      </c>
      <c r="F93" s="256">
        <v>6134746</v>
      </c>
      <c r="G93" s="256">
        <v>196214861</v>
      </c>
      <c r="H93" s="256">
        <v>19542911</v>
      </c>
      <c r="I93" s="256">
        <v>0</v>
      </c>
      <c r="J93" s="256">
        <v>0</v>
      </c>
      <c r="K93" s="256">
        <v>0</v>
      </c>
      <c r="L93" s="256">
        <v>0</v>
      </c>
      <c r="M93" s="256">
        <v>0</v>
      </c>
      <c r="N93" s="256">
        <v>0</v>
      </c>
      <c r="O93" s="256">
        <v>0</v>
      </c>
      <c r="P93" s="256">
        <v>0</v>
      </c>
      <c r="Q93" s="256">
        <v>0</v>
      </c>
      <c r="R93" s="256">
        <v>0</v>
      </c>
      <c r="S93" s="256">
        <v>0</v>
      </c>
      <c r="T93" s="257">
        <f t="shared" si="3"/>
        <v>258963390</v>
      </c>
      <c r="U93" s="257">
        <f t="shared" si="3"/>
        <v>568274042</v>
      </c>
      <c r="V93" s="257">
        <f t="shared" si="4"/>
        <v>215757772</v>
      </c>
      <c r="W93" s="257">
        <f t="shared" si="5"/>
        <v>1669720</v>
      </c>
    </row>
    <row r="94" spans="1:23" x14ac:dyDescent="0.3">
      <c r="A94" s="241" t="s">
        <v>129</v>
      </c>
      <c r="B94" s="241">
        <v>41005</v>
      </c>
      <c r="C94" s="256">
        <v>22890979</v>
      </c>
      <c r="D94" s="256">
        <v>852804995</v>
      </c>
      <c r="E94" s="256">
        <v>0</v>
      </c>
      <c r="F94" s="256">
        <v>459353</v>
      </c>
      <c r="G94" s="256">
        <v>420273348</v>
      </c>
      <c r="H94" s="256">
        <v>4993335</v>
      </c>
      <c r="I94" s="256">
        <v>0</v>
      </c>
      <c r="J94" s="256">
        <v>0</v>
      </c>
      <c r="K94" s="256">
        <v>0</v>
      </c>
      <c r="L94" s="256">
        <v>0</v>
      </c>
      <c r="M94" s="256">
        <v>1</v>
      </c>
      <c r="N94" s="256">
        <v>0</v>
      </c>
      <c r="O94" s="256">
        <v>0</v>
      </c>
      <c r="P94" s="256">
        <v>0</v>
      </c>
      <c r="Q94" s="256">
        <v>0</v>
      </c>
      <c r="R94" s="256">
        <v>0</v>
      </c>
      <c r="S94" s="256">
        <v>0</v>
      </c>
      <c r="T94" s="257">
        <f t="shared" si="3"/>
        <v>22890979</v>
      </c>
      <c r="U94" s="257">
        <f t="shared" si="3"/>
        <v>852804995</v>
      </c>
      <c r="V94" s="257">
        <f t="shared" si="4"/>
        <v>425266684</v>
      </c>
      <c r="W94" s="257">
        <f t="shared" si="5"/>
        <v>2574529</v>
      </c>
    </row>
    <row r="95" spans="1:23" x14ac:dyDescent="0.3">
      <c r="A95" s="241" t="s">
        <v>93</v>
      </c>
      <c r="B95" s="241">
        <v>42001</v>
      </c>
      <c r="C95" s="256">
        <v>550744677</v>
      </c>
      <c r="D95" s="256">
        <v>47598419</v>
      </c>
      <c r="E95" s="256">
        <v>2031881</v>
      </c>
      <c r="F95" s="256">
        <v>3871621</v>
      </c>
      <c r="G95" s="256">
        <v>56108319</v>
      </c>
      <c r="H95" s="256">
        <v>11605</v>
      </c>
      <c r="I95" s="256">
        <v>0</v>
      </c>
      <c r="J95" s="256">
        <v>0</v>
      </c>
      <c r="K95" s="256">
        <v>0</v>
      </c>
      <c r="L95" s="256">
        <v>0</v>
      </c>
      <c r="M95" s="256">
        <v>0</v>
      </c>
      <c r="N95" s="256">
        <v>0</v>
      </c>
      <c r="O95" s="256">
        <v>0</v>
      </c>
      <c r="P95" s="256">
        <v>0</v>
      </c>
      <c r="Q95" s="256">
        <v>0</v>
      </c>
      <c r="R95" s="256">
        <v>0</v>
      </c>
      <c r="S95" s="256">
        <v>0</v>
      </c>
      <c r="T95" s="257">
        <f t="shared" si="3"/>
        <v>550744677</v>
      </c>
      <c r="U95" s="257">
        <f t="shared" si="3"/>
        <v>47598419</v>
      </c>
      <c r="V95" s="257">
        <f t="shared" si="4"/>
        <v>56119924</v>
      </c>
      <c r="W95" s="257">
        <f t="shared" si="5"/>
        <v>605325</v>
      </c>
    </row>
    <row r="96" spans="1:23" x14ac:dyDescent="0.3">
      <c r="A96" s="241" t="s">
        <v>31</v>
      </c>
      <c r="B96" s="241">
        <v>43001</v>
      </c>
      <c r="C96" s="256">
        <v>148718466</v>
      </c>
      <c r="D96" s="256">
        <v>86910889</v>
      </c>
      <c r="E96" s="256">
        <v>387842</v>
      </c>
      <c r="F96" s="256">
        <v>1251958</v>
      </c>
      <c r="G96" s="256">
        <v>24096525</v>
      </c>
      <c r="H96" s="256">
        <v>3229398</v>
      </c>
      <c r="I96" s="256">
        <v>0</v>
      </c>
      <c r="J96" s="256">
        <v>0</v>
      </c>
      <c r="K96" s="256">
        <v>0</v>
      </c>
      <c r="L96" s="256">
        <v>0</v>
      </c>
      <c r="M96" s="256">
        <v>0</v>
      </c>
      <c r="N96" s="256">
        <v>0</v>
      </c>
      <c r="O96" s="256">
        <v>0</v>
      </c>
      <c r="P96" s="256">
        <v>0</v>
      </c>
      <c r="Q96" s="256">
        <v>0</v>
      </c>
      <c r="R96" s="256">
        <v>0</v>
      </c>
      <c r="S96" s="256">
        <v>0</v>
      </c>
      <c r="T96" s="257">
        <f t="shared" si="3"/>
        <v>148718466</v>
      </c>
      <c r="U96" s="257">
        <f t="shared" si="3"/>
        <v>86910889</v>
      </c>
      <c r="V96" s="257">
        <f t="shared" si="4"/>
        <v>27325923</v>
      </c>
      <c r="W96" s="257">
        <f t="shared" si="5"/>
        <v>310043</v>
      </c>
    </row>
    <row r="97" spans="1:23" x14ac:dyDescent="0.3">
      <c r="A97" s="241" t="s">
        <v>105</v>
      </c>
      <c r="B97" s="241">
        <v>43002</v>
      </c>
      <c r="C97" s="256">
        <v>154610731</v>
      </c>
      <c r="D97" s="256">
        <v>69593711</v>
      </c>
      <c r="E97" s="256">
        <v>62349</v>
      </c>
      <c r="F97" s="256">
        <v>1074381</v>
      </c>
      <c r="G97" s="256">
        <v>11950842</v>
      </c>
      <c r="H97" s="256">
        <v>9258990</v>
      </c>
      <c r="I97" s="256">
        <v>0</v>
      </c>
      <c r="J97" s="256">
        <v>0</v>
      </c>
      <c r="K97" s="256">
        <v>0</v>
      </c>
      <c r="L97" s="256">
        <v>0</v>
      </c>
      <c r="M97" s="256">
        <v>0</v>
      </c>
      <c r="N97" s="256">
        <v>0</v>
      </c>
      <c r="O97" s="256">
        <v>0</v>
      </c>
      <c r="P97" s="256">
        <v>0</v>
      </c>
      <c r="Q97" s="256">
        <v>0</v>
      </c>
      <c r="R97" s="256">
        <v>0</v>
      </c>
      <c r="S97" s="256">
        <v>0</v>
      </c>
      <c r="T97" s="257">
        <f t="shared" si="3"/>
        <v>154610731</v>
      </c>
      <c r="U97" s="257">
        <f t="shared" si="3"/>
        <v>69593711</v>
      </c>
      <c r="V97" s="257">
        <f t="shared" si="4"/>
        <v>21209832</v>
      </c>
      <c r="W97" s="257">
        <f t="shared" si="5"/>
        <v>269661</v>
      </c>
    </row>
    <row r="98" spans="1:23" x14ac:dyDescent="0.3">
      <c r="A98" s="241" t="s">
        <v>96</v>
      </c>
      <c r="B98" s="241">
        <v>43007</v>
      </c>
      <c r="C98" s="256">
        <v>306949319</v>
      </c>
      <c r="D98" s="256">
        <v>111784433</v>
      </c>
      <c r="E98" s="256">
        <v>214039</v>
      </c>
      <c r="F98" s="256">
        <v>1153666</v>
      </c>
      <c r="G98" s="256">
        <v>43774444</v>
      </c>
      <c r="H98" s="256">
        <v>4980335</v>
      </c>
      <c r="I98" s="256">
        <v>1</v>
      </c>
      <c r="J98" s="256">
        <v>0</v>
      </c>
      <c r="K98" s="256">
        <v>0</v>
      </c>
      <c r="L98" s="256">
        <v>0</v>
      </c>
      <c r="M98" s="256">
        <v>0</v>
      </c>
      <c r="N98" s="256">
        <v>0</v>
      </c>
      <c r="O98" s="256">
        <v>0</v>
      </c>
      <c r="P98" s="256">
        <v>0</v>
      </c>
      <c r="Q98" s="256">
        <v>0</v>
      </c>
      <c r="R98" s="256">
        <v>0</v>
      </c>
      <c r="S98" s="256">
        <v>0</v>
      </c>
      <c r="T98" s="257">
        <f t="shared" si="3"/>
        <v>306949320</v>
      </c>
      <c r="U98" s="257">
        <f t="shared" si="3"/>
        <v>111784433</v>
      </c>
      <c r="V98" s="257">
        <f t="shared" si="4"/>
        <v>48754779</v>
      </c>
      <c r="W98" s="257">
        <f t="shared" si="5"/>
        <v>516711</v>
      </c>
    </row>
    <row r="99" spans="1:23" x14ac:dyDescent="0.3">
      <c r="A99" s="241" t="s">
        <v>56</v>
      </c>
      <c r="B99" s="241">
        <v>44001</v>
      </c>
      <c r="C99" s="256">
        <v>413167759</v>
      </c>
      <c r="D99" s="256">
        <v>34310009</v>
      </c>
      <c r="E99" s="256">
        <v>258832</v>
      </c>
      <c r="F99" s="256">
        <v>2377123</v>
      </c>
      <c r="G99" s="256">
        <v>14966862</v>
      </c>
      <c r="H99" s="256">
        <v>34711585</v>
      </c>
      <c r="I99" s="256">
        <v>5</v>
      </c>
      <c r="J99" s="256">
        <v>0</v>
      </c>
      <c r="K99" s="256">
        <v>0</v>
      </c>
      <c r="L99" s="256">
        <v>0</v>
      </c>
      <c r="M99" s="256">
        <v>0</v>
      </c>
      <c r="N99" s="256">
        <v>0</v>
      </c>
      <c r="O99" s="256">
        <v>0</v>
      </c>
      <c r="P99" s="256">
        <v>0</v>
      </c>
      <c r="Q99" s="256">
        <v>0</v>
      </c>
      <c r="R99" s="256">
        <v>0</v>
      </c>
      <c r="S99" s="256">
        <v>0</v>
      </c>
      <c r="T99" s="257">
        <f t="shared" si="3"/>
        <v>413167764</v>
      </c>
      <c r="U99" s="257">
        <f t="shared" si="3"/>
        <v>34310009</v>
      </c>
      <c r="V99" s="257">
        <f t="shared" si="4"/>
        <v>49678447</v>
      </c>
      <c r="W99" s="257">
        <f t="shared" si="5"/>
        <v>475209</v>
      </c>
    </row>
    <row r="100" spans="1:23" x14ac:dyDescent="0.3">
      <c r="A100" s="241" t="s">
        <v>92</v>
      </c>
      <c r="B100" s="241">
        <v>44002</v>
      </c>
      <c r="C100" s="256">
        <v>344501532</v>
      </c>
      <c r="D100" s="256">
        <v>28440421</v>
      </c>
      <c r="E100" s="256">
        <v>300218</v>
      </c>
      <c r="F100" s="256">
        <v>2001199</v>
      </c>
      <c r="G100" s="256">
        <v>9520839</v>
      </c>
      <c r="H100" s="256">
        <v>16090280</v>
      </c>
      <c r="I100" s="256">
        <v>4</v>
      </c>
      <c r="J100" s="256">
        <v>0</v>
      </c>
      <c r="K100" s="256">
        <v>0</v>
      </c>
      <c r="L100" s="256">
        <v>0</v>
      </c>
      <c r="M100" s="256">
        <v>0</v>
      </c>
      <c r="N100" s="256">
        <v>0</v>
      </c>
      <c r="O100" s="256">
        <v>0</v>
      </c>
      <c r="P100" s="256">
        <v>0</v>
      </c>
      <c r="Q100" s="256">
        <v>0</v>
      </c>
      <c r="R100" s="256">
        <v>0</v>
      </c>
      <c r="S100" s="256">
        <v>0</v>
      </c>
      <c r="T100" s="257">
        <f t="shared" si="3"/>
        <v>344501536</v>
      </c>
      <c r="U100" s="257">
        <f t="shared" si="3"/>
        <v>28440421</v>
      </c>
      <c r="V100" s="257">
        <f t="shared" si="4"/>
        <v>25611119</v>
      </c>
      <c r="W100" s="257">
        <f t="shared" si="5"/>
        <v>347658</v>
      </c>
    </row>
    <row r="101" spans="1:23" x14ac:dyDescent="0.3">
      <c r="A101" s="241" t="s">
        <v>28</v>
      </c>
      <c r="B101" s="241">
        <v>45004</v>
      </c>
      <c r="C101" s="256">
        <v>624101289</v>
      </c>
      <c r="D101" s="256">
        <v>179363050</v>
      </c>
      <c r="E101" s="256">
        <v>1205892</v>
      </c>
      <c r="F101" s="256">
        <v>3480012</v>
      </c>
      <c r="G101" s="256">
        <v>110740739</v>
      </c>
      <c r="H101" s="256">
        <v>18623018</v>
      </c>
      <c r="I101" s="256">
        <v>1</v>
      </c>
      <c r="J101" s="256">
        <v>0</v>
      </c>
      <c r="K101" s="256">
        <v>0</v>
      </c>
      <c r="L101" s="256">
        <v>0</v>
      </c>
      <c r="M101" s="256">
        <v>1</v>
      </c>
      <c r="N101" s="256">
        <v>0</v>
      </c>
      <c r="O101" s="256">
        <v>0</v>
      </c>
      <c r="P101" s="256">
        <v>0</v>
      </c>
      <c r="Q101" s="256">
        <v>0</v>
      </c>
      <c r="R101" s="256">
        <v>0</v>
      </c>
      <c r="S101" s="256">
        <v>0</v>
      </c>
      <c r="T101" s="257">
        <f t="shared" si="3"/>
        <v>624101290</v>
      </c>
      <c r="U101" s="257">
        <f t="shared" si="3"/>
        <v>179363050</v>
      </c>
      <c r="V101" s="257">
        <f t="shared" si="4"/>
        <v>129363758</v>
      </c>
      <c r="W101" s="257">
        <f t="shared" si="5"/>
        <v>1072226</v>
      </c>
    </row>
    <row r="102" spans="1:23" x14ac:dyDescent="0.3">
      <c r="A102" s="241" t="s">
        <v>88</v>
      </c>
      <c r="B102" s="241">
        <v>45005</v>
      </c>
      <c r="C102" s="256">
        <v>416950204</v>
      </c>
      <c r="D102" s="256">
        <v>67336558</v>
      </c>
      <c r="E102" s="256">
        <v>697101</v>
      </c>
      <c r="F102" s="256">
        <v>1535364</v>
      </c>
      <c r="G102" s="256">
        <v>25238954</v>
      </c>
      <c r="H102" s="256">
        <v>13354650</v>
      </c>
      <c r="I102" s="256">
        <v>0</v>
      </c>
      <c r="J102" s="256">
        <v>0</v>
      </c>
      <c r="K102" s="256">
        <v>0</v>
      </c>
      <c r="L102" s="256">
        <v>0</v>
      </c>
      <c r="M102" s="256">
        <v>0</v>
      </c>
      <c r="N102" s="256">
        <v>0</v>
      </c>
      <c r="O102" s="256">
        <v>0</v>
      </c>
      <c r="P102" s="256">
        <v>0</v>
      </c>
      <c r="Q102" s="256">
        <v>0</v>
      </c>
      <c r="R102" s="256">
        <v>0</v>
      </c>
      <c r="S102" s="256">
        <v>0</v>
      </c>
      <c r="T102" s="257">
        <f t="shared" si="3"/>
        <v>416950204</v>
      </c>
      <c r="U102" s="257">
        <f t="shared" si="3"/>
        <v>67336558</v>
      </c>
      <c r="V102" s="257">
        <f t="shared" si="4"/>
        <v>38593604</v>
      </c>
      <c r="W102" s="257">
        <f t="shared" si="5"/>
        <v>492605</v>
      </c>
    </row>
    <row r="103" spans="1:23" x14ac:dyDescent="0.3">
      <c r="A103" s="241" t="s">
        <v>99</v>
      </c>
      <c r="B103" s="241">
        <v>46001</v>
      </c>
      <c r="C103" s="256">
        <v>497024960</v>
      </c>
      <c r="D103" s="256">
        <v>1581299304</v>
      </c>
      <c r="E103" s="256">
        <v>19244007</v>
      </c>
      <c r="F103" s="256">
        <v>66939392</v>
      </c>
      <c r="G103" s="256">
        <v>706833891</v>
      </c>
      <c r="H103" s="256">
        <v>28569706</v>
      </c>
      <c r="I103" s="256">
        <v>1483136</v>
      </c>
      <c r="J103" s="256">
        <v>21912</v>
      </c>
      <c r="K103" s="256">
        <v>0</v>
      </c>
      <c r="L103" s="256">
        <v>0</v>
      </c>
      <c r="M103" s="256">
        <v>14825473</v>
      </c>
      <c r="N103" s="256">
        <v>14111</v>
      </c>
      <c r="O103" s="256">
        <v>28867890</v>
      </c>
      <c r="P103" s="256">
        <v>0</v>
      </c>
      <c r="Q103" s="256">
        <v>0</v>
      </c>
      <c r="R103" s="256">
        <v>5074014</v>
      </c>
      <c r="S103" s="256">
        <v>0</v>
      </c>
      <c r="T103" s="257">
        <f t="shared" si="3"/>
        <v>498522207</v>
      </c>
      <c r="U103" s="257">
        <f t="shared" si="3"/>
        <v>1610189106</v>
      </c>
      <c r="V103" s="257">
        <f t="shared" si="4"/>
        <v>755303084</v>
      </c>
      <c r="W103" s="257">
        <f t="shared" si="5"/>
        <v>5015858</v>
      </c>
    </row>
    <row r="104" spans="1:23" x14ac:dyDescent="0.3">
      <c r="A104" s="241" t="s">
        <v>57</v>
      </c>
      <c r="B104" s="241">
        <v>46002</v>
      </c>
      <c r="C104" s="256">
        <v>110557437</v>
      </c>
      <c r="D104" s="256">
        <v>17940487</v>
      </c>
      <c r="E104" s="256">
        <v>1452956</v>
      </c>
      <c r="F104" s="256">
        <v>3438291</v>
      </c>
      <c r="G104" s="256">
        <v>13047280</v>
      </c>
      <c r="H104" s="256">
        <v>507</v>
      </c>
      <c r="I104" s="256">
        <v>0</v>
      </c>
      <c r="J104" s="256">
        <v>0</v>
      </c>
      <c r="K104" s="256">
        <v>0</v>
      </c>
      <c r="L104" s="256">
        <v>0</v>
      </c>
      <c r="M104" s="256">
        <v>165515</v>
      </c>
      <c r="N104" s="256">
        <v>0</v>
      </c>
      <c r="O104" s="256">
        <v>0</v>
      </c>
      <c r="P104" s="256">
        <v>0</v>
      </c>
      <c r="Q104" s="256">
        <v>0</v>
      </c>
      <c r="R104" s="256">
        <v>0</v>
      </c>
      <c r="S104" s="256">
        <v>0</v>
      </c>
      <c r="T104" s="257">
        <f t="shared" si="3"/>
        <v>110557437</v>
      </c>
      <c r="U104" s="257">
        <f t="shared" si="3"/>
        <v>17940487</v>
      </c>
      <c r="V104" s="257">
        <f t="shared" si="4"/>
        <v>13213302</v>
      </c>
      <c r="W104" s="257">
        <f t="shared" si="5"/>
        <v>139852</v>
      </c>
    </row>
    <row r="105" spans="1:23" x14ac:dyDescent="0.3">
      <c r="A105" s="241" t="s">
        <v>144</v>
      </c>
      <c r="B105" s="241">
        <v>47001</v>
      </c>
      <c r="C105" s="256">
        <v>144118477</v>
      </c>
      <c r="D105" s="256">
        <v>15661617</v>
      </c>
      <c r="E105" s="256">
        <v>695445</v>
      </c>
      <c r="F105" s="256">
        <v>2248958</v>
      </c>
      <c r="G105" s="256">
        <v>12331843</v>
      </c>
      <c r="H105" s="256">
        <v>72399</v>
      </c>
      <c r="I105" s="256">
        <v>0</v>
      </c>
      <c r="J105" s="256">
        <v>0</v>
      </c>
      <c r="K105" s="256">
        <v>0</v>
      </c>
      <c r="L105" s="256">
        <v>0</v>
      </c>
      <c r="M105" s="256">
        <v>0</v>
      </c>
      <c r="N105" s="256">
        <v>0</v>
      </c>
      <c r="O105" s="256">
        <v>0</v>
      </c>
      <c r="P105" s="256">
        <v>0</v>
      </c>
      <c r="Q105" s="256">
        <v>0</v>
      </c>
      <c r="R105" s="256">
        <v>0</v>
      </c>
      <c r="S105" s="256">
        <v>0</v>
      </c>
      <c r="T105" s="257">
        <f t="shared" si="3"/>
        <v>144118477</v>
      </c>
      <c r="U105" s="257">
        <f t="shared" si="3"/>
        <v>15661617</v>
      </c>
      <c r="V105" s="257">
        <f t="shared" si="4"/>
        <v>12404242</v>
      </c>
      <c r="W105" s="257">
        <f t="shared" si="5"/>
        <v>156164</v>
      </c>
    </row>
    <row r="106" spans="1:23" x14ac:dyDescent="0.3">
      <c r="A106" s="241" t="s">
        <v>79</v>
      </c>
      <c r="B106" s="241">
        <v>48003</v>
      </c>
      <c r="C106" s="256">
        <v>593321644</v>
      </c>
      <c r="D106" s="256">
        <v>86465342</v>
      </c>
      <c r="E106" s="256">
        <v>158093</v>
      </c>
      <c r="F106" s="256">
        <v>900079</v>
      </c>
      <c r="G106" s="256">
        <v>38947536</v>
      </c>
      <c r="H106" s="256">
        <v>59231461</v>
      </c>
      <c r="I106" s="256">
        <v>0</v>
      </c>
      <c r="J106" s="256">
        <v>0</v>
      </c>
      <c r="K106" s="256">
        <v>0</v>
      </c>
      <c r="L106" s="256">
        <v>0</v>
      </c>
      <c r="M106" s="256">
        <v>0</v>
      </c>
      <c r="N106" s="256">
        <v>0</v>
      </c>
      <c r="O106" s="256">
        <v>1264247</v>
      </c>
      <c r="P106" s="256">
        <v>0</v>
      </c>
      <c r="Q106" s="256">
        <v>0</v>
      </c>
      <c r="R106" s="256">
        <v>496506</v>
      </c>
      <c r="S106" s="256">
        <v>0</v>
      </c>
      <c r="T106" s="257">
        <f t="shared" si="3"/>
        <v>593321644</v>
      </c>
      <c r="U106" s="257">
        <f t="shared" si="3"/>
        <v>87729589</v>
      </c>
      <c r="V106" s="257">
        <f t="shared" si="4"/>
        <v>98675503</v>
      </c>
      <c r="W106" s="257">
        <f t="shared" si="5"/>
        <v>822771</v>
      </c>
    </row>
    <row r="107" spans="1:23" x14ac:dyDescent="0.3">
      <c r="A107" s="241" t="s">
        <v>18</v>
      </c>
      <c r="B107" s="241">
        <v>49001</v>
      </c>
      <c r="C107" s="256">
        <v>69126400</v>
      </c>
      <c r="D107" s="256">
        <v>230186200</v>
      </c>
      <c r="E107" s="256">
        <v>491400</v>
      </c>
      <c r="F107" s="256">
        <v>576400</v>
      </c>
      <c r="G107" s="256">
        <v>40349500</v>
      </c>
      <c r="H107" s="256">
        <v>2693384</v>
      </c>
      <c r="I107" s="256">
        <v>0</v>
      </c>
      <c r="J107" s="256">
        <v>0</v>
      </c>
      <c r="K107" s="256">
        <v>0</v>
      </c>
      <c r="L107" s="256">
        <v>0</v>
      </c>
      <c r="M107" s="256">
        <v>195643</v>
      </c>
      <c r="N107" s="256">
        <v>0</v>
      </c>
      <c r="O107" s="256">
        <v>0</v>
      </c>
      <c r="P107" s="256">
        <v>0</v>
      </c>
      <c r="Q107" s="256">
        <v>0</v>
      </c>
      <c r="R107" s="256">
        <v>0</v>
      </c>
      <c r="S107" s="256">
        <v>0</v>
      </c>
      <c r="T107" s="257">
        <f t="shared" si="3"/>
        <v>69126400</v>
      </c>
      <c r="U107" s="257">
        <f t="shared" si="3"/>
        <v>230186200</v>
      </c>
      <c r="V107" s="257">
        <f t="shared" si="4"/>
        <v>43238527</v>
      </c>
      <c r="W107" s="257">
        <f t="shared" si="5"/>
        <v>517767</v>
      </c>
    </row>
    <row r="108" spans="1:23" x14ac:dyDescent="0.3">
      <c r="A108" s="241" t="s">
        <v>26</v>
      </c>
      <c r="B108" s="241">
        <v>49002</v>
      </c>
      <c r="C108" s="256">
        <v>132368600</v>
      </c>
      <c r="D108" s="256">
        <v>2713959900</v>
      </c>
      <c r="E108" s="256">
        <v>2432400</v>
      </c>
      <c r="F108" s="256">
        <v>5828600</v>
      </c>
      <c r="G108" s="256">
        <v>728319800</v>
      </c>
      <c r="H108" s="256">
        <v>54969828</v>
      </c>
      <c r="I108" s="256">
        <v>0</v>
      </c>
      <c r="J108" s="256">
        <v>35554</v>
      </c>
      <c r="K108" s="256">
        <v>0</v>
      </c>
      <c r="L108" s="256">
        <v>0</v>
      </c>
      <c r="M108" s="256">
        <v>4109624</v>
      </c>
      <c r="N108" s="256">
        <v>0</v>
      </c>
      <c r="O108" s="256">
        <v>0</v>
      </c>
      <c r="P108" s="256">
        <v>0</v>
      </c>
      <c r="Q108" s="256">
        <v>0</v>
      </c>
      <c r="R108" s="256">
        <v>0</v>
      </c>
      <c r="S108" s="256">
        <v>0</v>
      </c>
      <c r="T108" s="257">
        <f t="shared" si="3"/>
        <v>132368600</v>
      </c>
      <c r="U108" s="257">
        <f t="shared" si="3"/>
        <v>2713995454</v>
      </c>
      <c r="V108" s="257">
        <f t="shared" si="4"/>
        <v>787399252</v>
      </c>
      <c r="W108" s="257">
        <f t="shared" si="5"/>
        <v>6502620</v>
      </c>
    </row>
    <row r="109" spans="1:23" x14ac:dyDescent="0.3">
      <c r="A109" s="241" t="s">
        <v>42</v>
      </c>
      <c r="B109" s="241">
        <v>49003</v>
      </c>
      <c r="C109" s="256">
        <v>261653004</v>
      </c>
      <c r="D109" s="256">
        <v>506375452</v>
      </c>
      <c r="E109" s="256">
        <v>413218</v>
      </c>
      <c r="F109" s="256">
        <v>1438088</v>
      </c>
      <c r="G109" s="256">
        <v>108538360</v>
      </c>
      <c r="H109" s="256">
        <v>4817414</v>
      </c>
      <c r="I109" s="256">
        <v>0</v>
      </c>
      <c r="J109" s="256">
        <v>0</v>
      </c>
      <c r="K109" s="256">
        <v>0</v>
      </c>
      <c r="L109" s="256">
        <v>0</v>
      </c>
      <c r="M109" s="256">
        <v>900527</v>
      </c>
      <c r="N109" s="256">
        <v>0</v>
      </c>
      <c r="O109" s="256">
        <v>0</v>
      </c>
      <c r="P109" s="256">
        <v>0</v>
      </c>
      <c r="Q109" s="256">
        <v>0</v>
      </c>
      <c r="R109" s="256">
        <v>0</v>
      </c>
      <c r="S109" s="256">
        <v>0</v>
      </c>
      <c r="T109" s="257">
        <f t="shared" si="3"/>
        <v>261653004</v>
      </c>
      <c r="U109" s="257">
        <f t="shared" si="3"/>
        <v>506375452</v>
      </c>
      <c r="V109" s="257">
        <f t="shared" si="4"/>
        <v>114256301</v>
      </c>
      <c r="W109" s="257">
        <f t="shared" si="5"/>
        <v>1269832</v>
      </c>
    </row>
    <row r="110" spans="1:23" x14ac:dyDescent="0.3">
      <c r="A110" s="241" t="s">
        <v>62</v>
      </c>
      <c r="B110" s="241">
        <v>49004</v>
      </c>
      <c r="C110" s="256">
        <v>125114200</v>
      </c>
      <c r="D110" s="256">
        <v>250773800</v>
      </c>
      <c r="E110" s="256">
        <v>478200</v>
      </c>
      <c r="F110" s="256">
        <v>1965600</v>
      </c>
      <c r="G110" s="256">
        <v>39981300</v>
      </c>
      <c r="H110" s="256">
        <v>9359157</v>
      </c>
      <c r="I110" s="256">
        <v>0</v>
      </c>
      <c r="J110" s="256">
        <v>8270</v>
      </c>
      <c r="K110" s="256">
        <v>0</v>
      </c>
      <c r="L110" s="256">
        <v>0</v>
      </c>
      <c r="M110" s="256">
        <v>180493</v>
      </c>
      <c r="N110" s="256">
        <v>0</v>
      </c>
      <c r="O110" s="256">
        <v>0</v>
      </c>
      <c r="P110" s="256">
        <v>0</v>
      </c>
      <c r="Q110" s="256">
        <v>0</v>
      </c>
      <c r="R110" s="256">
        <v>0</v>
      </c>
      <c r="S110" s="256">
        <v>0</v>
      </c>
      <c r="T110" s="257">
        <f t="shared" si="3"/>
        <v>125114200</v>
      </c>
      <c r="U110" s="257">
        <f t="shared" si="3"/>
        <v>250782070</v>
      </c>
      <c r="V110" s="257">
        <f t="shared" si="4"/>
        <v>49520950</v>
      </c>
      <c r="W110" s="257">
        <f t="shared" si="5"/>
        <v>604341</v>
      </c>
    </row>
    <row r="111" spans="1:23" x14ac:dyDescent="0.3">
      <c r="A111" s="241" t="s">
        <v>122</v>
      </c>
      <c r="B111" s="241">
        <v>49005</v>
      </c>
      <c r="C111" s="256">
        <v>15348649</v>
      </c>
      <c r="D111" s="256">
        <v>10849608597</v>
      </c>
      <c r="E111" s="256">
        <v>21618400</v>
      </c>
      <c r="F111" s="256">
        <v>30364500</v>
      </c>
      <c r="G111" s="256">
        <v>7129520529</v>
      </c>
      <c r="H111" s="256">
        <v>172709989</v>
      </c>
      <c r="I111" s="256">
        <v>0</v>
      </c>
      <c r="J111" s="256">
        <v>0</v>
      </c>
      <c r="K111" s="256">
        <v>0</v>
      </c>
      <c r="L111" s="256">
        <v>0</v>
      </c>
      <c r="M111" s="256">
        <v>25116001</v>
      </c>
      <c r="N111" s="256">
        <v>0</v>
      </c>
      <c r="O111" s="256">
        <v>8723185</v>
      </c>
      <c r="P111" s="256">
        <v>0</v>
      </c>
      <c r="Q111" s="256">
        <v>0</v>
      </c>
      <c r="R111" s="256">
        <v>17113530</v>
      </c>
      <c r="S111" s="256">
        <v>0</v>
      </c>
      <c r="T111" s="257">
        <f t="shared" si="3"/>
        <v>15348649</v>
      </c>
      <c r="U111" s="257">
        <f t="shared" si="3"/>
        <v>10858331782</v>
      </c>
      <c r="V111" s="257">
        <f t="shared" si="4"/>
        <v>7344460049</v>
      </c>
      <c r="W111" s="257">
        <f t="shared" si="5"/>
        <v>38496228</v>
      </c>
    </row>
    <row r="112" spans="1:23" x14ac:dyDescent="0.3">
      <c r="A112" s="241" t="s">
        <v>132</v>
      </c>
      <c r="B112" s="241">
        <v>49006</v>
      </c>
      <c r="C112" s="256">
        <v>185339200</v>
      </c>
      <c r="D112" s="256">
        <v>559480300</v>
      </c>
      <c r="E112" s="256">
        <v>257300</v>
      </c>
      <c r="F112" s="256">
        <v>719300</v>
      </c>
      <c r="G112" s="256">
        <v>330225500</v>
      </c>
      <c r="H112" s="256">
        <v>4573370</v>
      </c>
      <c r="I112" s="256">
        <v>0</v>
      </c>
      <c r="J112" s="256">
        <v>0</v>
      </c>
      <c r="K112" s="256">
        <v>0</v>
      </c>
      <c r="L112" s="256">
        <v>0</v>
      </c>
      <c r="M112" s="256">
        <v>18449589</v>
      </c>
      <c r="N112" s="256">
        <v>0</v>
      </c>
      <c r="O112" s="256">
        <v>0</v>
      </c>
      <c r="P112" s="256">
        <v>0</v>
      </c>
      <c r="Q112" s="256">
        <v>0</v>
      </c>
      <c r="R112" s="256">
        <v>0</v>
      </c>
      <c r="S112" s="256">
        <v>0</v>
      </c>
      <c r="T112" s="257">
        <f t="shared" si="3"/>
        <v>185339200</v>
      </c>
      <c r="U112" s="257">
        <f t="shared" si="3"/>
        <v>559480300</v>
      </c>
      <c r="V112" s="257">
        <f t="shared" si="4"/>
        <v>353248459</v>
      </c>
      <c r="W112" s="257">
        <f t="shared" si="5"/>
        <v>2028380</v>
      </c>
    </row>
    <row r="113" spans="1:23" x14ac:dyDescent="0.3">
      <c r="A113" s="241" t="s">
        <v>142</v>
      </c>
      <c r="B113" s="241">
        <v>49007</v>
      </c>
      <c r="C113" s="256">
        <v>164492993</v>
      </c>
      <c r="D113" s="256">
        <v>691555321</v>
      </c>
      <c r="E113" s="256">
        <v>522900</v>
      </c>
      <c r="F113" s="256">
        <v>2275000</v>
      </c>
      <c r="G113" s="256">
        <v>174992242</v>
      </c>
      <c r="H113" s="256">
        <v>27572111</v>
      </c>
      <c r="I113" s="256">
        <v>0</v>
      </c>
      <c r="J113" s="256">
        <v>0</v>
      </c>
      <c r="K113" s="256">
        <v>0</v>
      </c>
      <c r="L113" s="256">
        <v>0</v>
      </c>
      <c r="M113" s="256">
        <v>876175</v>
      </c>
      <c r="N113" s="256">
        <v>0</v>
      </c>
      <c r="O113" s="256">
        <v>0</v>
      </c>
      <c r="P113" s="256">
        <v>0</v>
      </c>
      <c r="Q113" s="256">
        <v>0</v>
      </c>
      <c r="R113" s="256">
        <v>0</v>
      </c>
      <c r="S113" s="256">
        <v>0</v>
      </c>
      <c r="T113" s="257">
        <f t="shared" si="3"/>
        <v>164492993</v>
      </c>
      <c r="U113" s="257">
        <f t="shared" si="3"/>
        <v>691555321</v>
      </c>
      <c r="V113" s="257">
        <f t="shared" si="4"/>
        <v>203440528</v>
      </c>
      <c r="W113" s="257">
        <f t="shared" si="5"/>
        <v>1751809</v>
      </c>
    </row>
    <row r="114" spans="1:23" x14ac:dyDescent="0.3">
      <c r="A114" s="241" t="s">
        <v>58</v>
      </c>
      <c r="B114" s="241">
        <v>50003</v>
      </c>
      <c r="C114" s="256">
        <v>367748658</v>
      </c>
      <c r="D114" s="256">
        <v>144648102</v>
      </c>
      <c r="E114" s="256">
        <v>711173</v>
      </c>
      <c r="F114" s="256">
        <v>1508666</v>
      </c>
      <c r="G114" s="256">
        <v>53710667</v>
      </c>
      <c r="H114" s="256">
        <v>3045260</v>
      </c>
      <c r="I114" s="256">
        <v>0</v>
      </c>
      <c r="J114" s="256">
        <v>0</v>
      </c>
      <c r="K114" s="256">
        <v>0</v>
      </c>
      <c r="L114" s="256">
        <v>0</v>
      </c>
      <c r="M114" s="256">
        <v>11300</v>
      </c>
      <c r="N114" s="256">
        <v>0</v>
      </c>
      <c r="O114" s="256">
        <v>0</v>
      </c>
      <c r="P114" s="256">
        <v>0</v>
      </c>
      <c r="Q114" s="256">
        <v>0</v>
      </c>
      <c r="R114" s="256">
        <v>0</v>
      </c>
      <c r="S114" s="256">
        <v>0</v>
      </c>
      <c r="T114" s="257">
        <f t="shared" si="3"/>
        <v>367748658</v>
      </c>
      <c r="U114" s="257">
        <f t="shared" si="3"/>
        <v>144648102</v>
      </c>
      <c r="V114" s="257">
        <f t="shared" si="4"/>
        <v>56767227</v>
      </c>
      <c r="W114" s="257">
        <f t="shared" si="5"/>
        <v>629868</v>
      </c>
    </row>
    <row r="115" spans="1:23" x14ac:dyDescent="0.3">
      <c r="A115" s="241" t="s">
        <v>403</v>
      </c>
      <c r="B115" s="241">
        <v>50005</v>
      </c>
      <c r="C115" s="256">
        <v>188751936</v>
      </c>
      <c r="D115" s="256">
        <v>84553990</v>
      </c>
      <c r="E115" s="256">
        <v>203861</v>
      </c>
      <c r="F115" s="256">
        <v>1092880</v>
      </c>
      <c r="G115" s="256">
        <v>28736412</v>
      </c>
      <c r="H115" s="256">
        <v>692283</v>
      </c>
      <c r="I115" s="256">
        <v>0</v>
      </c>
      <c r="J115" s="256">
        <v>0</v>
      </c>
      <c r="K115" s="256">
        <v>0</v>
      </c>
      <c r="L115" s="256">
        <v>0</v>
      </c>
      <c r="M115" s="256">
        <v>0</v>
      </c>
      <c r="N115" s="256">
        <v>0</v>
      </c>
      <c r="O115" s="256">
        <v>0</v>
      </c>
      <c r="P115" s="256">
        <v>0</v>
      </c>
      <c r="Q115" s="256">
        <v>0</v>
      </c>
      <c r="R115" s="256">
        <v>0</v>
      </c>
      <c r="S115" s="256">
        <v>0</v>
      </c>
      <c r="T115" s="257">
        <f t="shared" si="3"/>
        <v>188751936</v>
      </c>
      <c r="U115" s="257">
        <f t="shared" si="3"/>
        <v>84553990</v>
      </c>
      <c r="V115" s="257">
        <f t="shared" si="4"/>
        <v>29428695</v>
      </c>
      <c r="W115" s="257">
        <f t="shared" si="5"/>
        <v>339411</v>
      </c>
    </row>
    <row r="116" spans="1:23" x14ac:dyDescent="0.3">
      <c r="A116" s="241" t="s">
        <v>46</v>
      </c>
      <c r="B116" s="241">
        <v>51001</v>
      </c>
      <c r="C116" s="256">
        <v>32357459</v>
      </c>
      <c r="D116" s="256">
        <v>764212304</v>
      </c>
      <c r="E116" s="256">
        <v>10945022</v>
      </c>
      <c r="F116" s="256">
        <v>24189609</v>
      </c>
      <c r="G116" s="256">
        <v>254529861</v>
      </c>
      <c r="H116" s="256">
        <v>3547041</v>
      </c>
      <c r="I116" s="256">
        <v>35478</v>
      </c>
      <c r="J116" s="256">
        <v>0</v>
      </c>
      <c r="K116" s="256">
        <v>0</v>
      </c>
      <c r="L116" s="256">
        <v>0</v>
      </c>
      <c r="M116" s="256">
        <v>1805144</v>
      </c>
      <c r="N116" s="256">
        <v>0</v>
      </c>
      <c r="O116" s="256">
        <v>0</v>
      </c>
      <c r="P116" s="256">
        <v>0</v>
      </c>
      <c r="Q116" s="256">
        <v>0</v>
      </c>
      <c r="R116" s="256">
        <v>0</v>
      </c>
      <c r="S116" s="256">
        <v>0</v>
      </c>
      <c r="T116" s="257">
        <f t="shared" si="3"/>
        <v>32392937</v>
      </c>
      <c r="U116" s="257">
        <f t="shared" si="3"/>
        <v>764212304</v>
      </c>
      <c r="V116" s="257">
        <f t="shared" si="4"/>
        <v>259882046</v>
      </c>
      <c r="W116" s="257">
        <f t="shared" si="5"/>
        <v>1944450</v>
      </c>
    </row>
    <row r="117" spans="1:23" x14ac:dyDescent="0.3">
      <c r="A117" s="241" t="s">
        <v>75</v>
      </c>
      <c r="B117" s="241">
        <v>51002</v>
      </c>
      <c r="C117" s="256">
        <v>4351320</v>
      </c>
      <c r="D117" s="256">
        <v>441439729</v>
      </c>
      <c r="E117" s="256">
        <v>6371741</v>
      </c>
      <c r="F117" s="256">
        <v>5725643</v>
      </c>
      <c r="G117" s="256">
        <v>485899391</v>
      </c>
      <c r="H117" s="256">
        <v>20121674</v>
      </c>
      <c r="I117" s="256">
        <v>0</v>
      </c>
      <c r="J117" s="256">
        <v>0</v>
      </c>
      <c r="K117" s="256">
        <v>0</v>
      </c>
      <c r="L117" s="256">
        <v>0</v>
      </c>
      <c r="M117" s="256">
        <v>0</v>
      </c>
      <c r="N117" s="256">
        <v>0</v>
      </c>
      <c r="O117" s="256">
        <v>0</v>
      </c>
      <c r="P117" s="256">
        <v>0</v>
      </c>
      <c r="Q117" s="256">
        <v>0</v>
      </c>
      <c r="R117" s="256">
        <v>0</v>
      </c>
      <c r="S117" s="256">
        <v>0</v>
      </c>
      <c r="T117" s="257">
        <f t="shared" si="3"/>
        <v>4351320</v>
      </c>
      <c r="U117" s="257">
        <f t="shared" si="3"/>
        <v>441439729</v>
      </c>
      <c r="V117" s="257">
        <f t="shared" si="4"/>
        <v>506021065</v>
      </c>
      <c r="W117" s="257">
        <f t="shared" si="5"/>
        <v>2201532</v>
      </c>
    </row>
    <row r="118" spans="1:23" x14ac:dyDescent="0.3">
      <c r="A118" s="241" t="s">
        <v>107</v>
      </c>
      <c r="B118" s="241">
        <v>51003</v>
      </c>
      <c r="C118" s="256">
        <v>91497332</v>
      </c>
      <c r="D118" s="256">
        <v>68270435</v>
      </c>
      <c r="E118" s="256">
        <v>1522197</v>
      </c>
      <c r="F118" s="256">
        <v>2969224</v>
      </c>
      <c r="G118" s="256">
        <v>21846354</v>
      </c>
      <c r="H118" s="256">
        <v>14988</v>
      </c>
      <c r="I118" s="256">
        <v>0</v>
      </c>
      <c r="J118" s="256">
        <v>0</v>
      </c>
      <c r="K118" s="256">
        <v>0</v>
      </c>
      <c r="L118" s="256">
        <v>0</v>
      </c>
      <c r="M118" s="256">
        <v>0</v>
      </c>
      <c r="N118" s="256">
        <v>0</v>
      </c>
      <c r="O118" s="256">
        <v>0</v>
      </c>
      <c r="P118" s="256">
        <v>0</v>
      </c>
      <c r="Q118" s="256">
        <v>0</v>
      </c>
      <c r="R118" s="256">
        <v>0</v>
      </c>
      <c r="S118" s="256">
        <v>0</v>
      </c>
      <c r="T118" s="257">
        <f t="shared" si="3"/>
        <v>91497332</v>
      </c>
      <c r="U118" s="257">
        <f t="shared" si="3"/>
        <v>68270435</v>
      </c>
      <c r="V118" s="257">
        <f t="shared" si="4"/>
        <v>21861342</v>
      </c>
      <c r="W118" s="257">
        <f t="shared" si="5"/>
        <v>228043</v>
      </c>
    </row>
    <row r="119" spans="1:23" x14ac:dyDescent="0.3">
      <c r="A119" s="241" t="s">
        <v>116</v>
      </c>
      <c r="B119" s="241">
        <v>51004</v>
      </c>
      <c r="C119" s="256">
        <v>59548108</v>
      </c>
      <c r="D119" s="256">
        <v>8052558108</v>
      </c>
      <c r="E119" s="256">
        <v>41961991</v>
      </c>
      <c r="F119" s="256">
        <v>64754676</v>
      </c>
      <c r="G119" s="256">
        <v>4194665648</v>
      </c>
      <c r="H119" s="256">
        <v>163253330</v>
      </c>
      <c r="I119" s="256">
        <v>0</v>
      </c>
      <c r="J119" s="256">
        <v>0</v>
      </c>
      <c r="K119" s="256">
        <v>0</v>
      </c>
      <c r="L119" s="256">
        <v>0</v>
      </c>
      <c r="M119" s="256">
        <v>1503351</v>
      </c>
      <c r="N119" s="256">
        <v>7055</v>
      </c>
      <c r="O119" s="256">
        <v>0</v>
      </c>
      <c r="P119" s="256">
        <v>0</v>
      </c>
      <c r="Q119" s="256">
        <v>0</v>
      </c>
      <c r="R119" s="256">
        <v>8913631</v>
      </c>
      <c r="S119" s="256">
        <v>0</v>
      </c>
      <c r="T119" s="257">
        <f t="shared" si="3"/>
        <v>59555163</v>
      </c>
      <c r="U119" s="257">
        <f t="shared" si="3"/>
        <v>8052558108</v>
      </c>
      <c r="V119" s="257">
        <f t="shared" si="4"/>
        <v>4368335960</v>
      </c>
      <c r="W119" s="257">
        <f t="shared" si="5"/>
        <v>25284754</v>
      </c>
    </row>
    <row r="120" spans="1:23" x14ac:dyDescent="0.3">
      <c r="A120" s="241" t="s">
        <v>135</v>
      </c>
      <c r="B120" s="241">
        <v>51005</v>
      </c>
      <c r="C120" s="256">
        <v>225577621</v>
      </c>
      <c r="D120" s="256">
        <v>66116480</v>
      </c>
      <c r="E120" s="256">
        <v>2499468</v>
      </c>
      <c r="F120" s="256">
        <v>3745697</v>
      </c>
      <c r="G120" s="256">
        <v>53432054</v>
      </c>
      <c r="H120" s="256">
        <v>170966</v>
      </c>
      <c r="I120" s="256">
        <v>0</v>
      </c>
      <c r="J120" s="256">
        <v>0</v>
      </c>
      <c r="K120" s="256">
        <v>0</v>
      </c>
      <c r="L120" s="256">
        <v>0</v>
      </c>
      <c r="M120" s="256">
        <v>0</v>
      </c>
      <c r="N120" s="256">
        <v>0</v>
      </c>
      <c r="O120" s="256">
        <v>0</v>
      </c>
      <c r="P120" s="256">
        <v>0</v>
      </c>
      <c r="Q120" s="256">
        <v>0</v>
      </c>
      <c r="R120" s="256">
        <v>0</v>
      </c>
      <c r="S120" s="256">
        <v>0</v>
      </c>
      <c r="T120" s="257">
        <f t="shared" si="3"/>
        <v>225577621</v>
      </c>
      <c r="U120" s="257">
        <f t="shared" si="3"/>
        <v>66116480</v>
      </c>
      <c r="V120" s="257">
        <f t="shared" si="4"/>
        <v>53603020</v>
      </c>
      <c r="W120" s="257">
        <f t="shared" si="5"/>
        <v>410373</v>
      </c>
    </row>
    <row r="121" spans="1:23" x14ac:dyDescent="0.3">
      <c r="A121" s="241" t="s">
        <v>23</v>
      </c>
      <c r="B121" s="241">
        <v>52001</v>
      </c>
      <c r="C121" s="256">
        <v>305788608</v>
      </c>
      <c r="D121" s="256">
        <v>22630398</v>
      </c>
      <c r="E121" s="256">
        <v>724862</v>
      </c>
      <c r="F121" s="256">
        <v>2902509</v>
      </c>
      <c r="G121" s="256">
        <v>15052724</v>
      </c>
      <c r="H121" s="256">
        <v>8548</v>
      </c>
      <c r="I121" s="256">
        <v>0</v>
      </c>
      <c r="J121" s="256">
        <v>5</v>
      </c>
      <c r="K121" s="256">
        <v>0</v>
      </c>
      <c r="L121" s="256">
        <v>0</v>
      </c>
      <c r="M121" s="256">
        <v>1</v>
      </c>
      <c r="N121" s="256">
        <v>0</v>
      </c>
      <c r="O121" s="256">
        <v>0</v>
      </c>
      <c r="P121" s="256">
        <v>0</v>
      </c>
      <c r="Q121" s="256">
        <v>0</v>
      </c>
      <c r="R121" s="256">
        <v>0</v>
      </c>
      <c r="S121" s="256">
        <v>0</v>
      </c>
      <c r="T121" s="257">
        <f t="shared" si="3"/>
        <v>305788608</v>
      </c>
      <c r="U121" s="257">
        <f t="shared" si="3"/>
        <v>22630403</v>
      </c>
      <c r="V121" s="257">
        <f t="shared" si="4"/>
        <v>15061273</v>
      </c>
      <c r="W121" s="257">
        <f t="shared" si="5"/>
        <v>281280</v>
      </c>
    </row>
    <row r="122" spans="1:23" x14ac:dyDescent="0.3">
      <c r="A122" s="241" t="s">
        <v>90</v>
      </c>
      <c r="B122" s="241">
        <v>52004</v>
      </c>
      <c r="C122" s="256">
        <v>395857032</v>
      </c>
      <c r="D122" s="256">
        <v>55942510</v>
      </c>
      <c r="E122" s="256">
        <v>1963147</v>
      </c>
      <c r="F122" s="256">
        <v>4155514</v>
      </c>
      <c r="G122" s="256">
        <v>43501563</v>
      </c>
      <c r="H122" s="256">
        <v>9043748</v>
      </c>
      <c r="I122" s="256">
        <v>0</v>
      </c>
      <c r="J122" s="256">
        <v>4</v>
      </c>
      <c r="K122" s="256">
        <v>0</v>
      </c>
      <c r="L122" s="256">
        <v>0</v>
      </c>
      <c r="M122" s="256">
        <v>3</v>
      </c>
      <c r="N122" s="256">
        <v>0</v>
      </c>
      <c r="O122" s="256">
        <v>0</v>
      </c>
      <c r="P122" s="256">
        <v>0</v>
      </c>
      <c r="Q122" s="256">
        <v>0</v>
      </c>
      <c r="R122" s="256">
        <v>0</v>
      </c>
      <c r="S122" s="256">
        <v>0</v>
      </c>
      <c r="T122" s="257">
        <f t="shared" si="3"/>
        <v>395857032</v>
      </c>
      <c r="U122" s="257">
        <f t="shared" si="3"/>
        <v>55942514</v>
      </c>
      <c r="V122" s="257">
        <f t="shared" si="4"/>
        <v>52545314</v>
      </c>
      <c r="W122" s="257">
        <f t="shared" si="5"/>
        <v>504497</v>
      </c>
    </row>
    <row r="123" spans="1:23" x14ac:dyDescent="0.3">
      <c r="A123" s="241" t="s">
        <v>64</v>
      </c>
      <c r="B123" s="241">
        <v>53001</v>
      </c>
      <c r="C123" s="256">
        <v>235363446</v>
      </c>
      <c r="D123" s="256">
        <v>58980390</v>
      </c>
      <c r="E123" s="256">
        <v>3792817</v>
      </c>
      <c r="F123" s="256">
        <v>2759565</v>
      </c>
      <c r="G123" s="256">
        <v>44239075</v>
      </c>
      <c r="H123" s="256">
        <v>1203085</v>
      </c>
      <c r="I123" s="256">
        <v>0</v>
      </c>
      <c r="J123" s="256">
        <v>0</v>
      </c>
      <c r="K123" s="256">
        <v>0</v>
      </c>
      <c r="L123" s="256">
        <v>0</v>
      </c>
      <c r="M123" s="256">
        <v>1</v>
      </c>
      <c r="N123" s="256">
        <v>0</v>
      </c>
      <c r="O123" s="256">
        <v>0</v>
      </c>
      <c r="P123" s="256">
        <v>0</v>
      </c>
      <c r="Q123" s="256">
        <v>0</v>
      </c>
      <c r="R123" s="256">
        <v>0</v>
      </c>
      <c r="S123" s="256">
        <v>0</v>
      </c>
      <c r="T123" s="257">
        <f t="shared" si="3"/>
        <v>235363446</v>
      </c>
      <c r="U123" s="257">
        <f t="shared" si="3"/>
        <v>58980390</v>
      </c>
      <c r="V123" s="257">
        <f t="shared" si="4"/>
        <v>45442161</v>
      </c>
      <c r="W123" s="257">
        <f t="shared" si="5"/>
        <v>381348</v>
      </c>
    </row>
    <row r="124" spans="1:23" x14ac:dyDescent="0.3">
      <c r="A124" s="241" t="s">
        <v>78</v>
      </c>
      <c r="B124" s="241">
        <v>53002</v>
      </c>
      <c r="C124" s="256">
        <v>554009150</v>
      </c>
      <c r="D124" s="256">
        <v>40505160</v>
      </c>
      <c r="E124" s="256">
        <v>17481383</v>
      </c>
      <c r="F124" s="256">
        <v>3754433</v>
      </c>
      <c r="G124" s="256">
        <v>33820196</v>
      </c>
      <c r="H124" s="256">
        <v>1029246</v>
      </c>
      <c r="I124" s="256">
        <v>2</v>
      </c>
      <c r="J124" s="256">
        <v>0</v>
      </c>
      <c r="K124" s="256">
        <v>0</v>
      </c>
      <c r="L124" s="256">
        <v>0</v>
      </c>
      <c r="M124" s="256">
        <v>0</v>
      </c>
      <c r="N124" s="256">
        <v>0</v>
      </c>
      <c r="O124" s="256">
        <v>0</v>
      </c>
      <c r="P124" s="256">
        <v>0</v>
      </c>
      <c r="Q124" s="256">
        <v>0</v>
      </c>
      <c r="R124" s="256">
        <v>0</v>
      </c>
      <c r="S124" s="256">
        <v>0</v>
      </c>
      <c r="T124" s="257">
        <f t="shared" si="3"/>
        <v>554009152</v>
      </c>
      <c r="U124" s="257">
        <f t="shared" si="3"/>
        <v>40505160</v>
      </c>
      <c r="V124" s="257">
        <f t="shared" si="4"/>
        <v>34849442</v>
      </c>
      <c r="W124" s="257">
        <f t="shared" si="5"/>
        <v>531989</v>
      </c>
    </row>
    <row r="125" spans="1:23" x14ac:dyDescent="0.3">
      <c r="A125" s="241" t="s">
        <v>453</v>
      </c>
      <c r="B125" s="241">
        <v>54002</v>
      </c>
      <c r="C125" s="256">
        <v>672818558</v>
      </c>
      <c r="D125" s="256">
        <v>194798748</v>
      </c>
      <c r="E125" s="256">
        <v>2434720</v>
      </c>
      <c r="F125" s="256">
        <v>4564156</v>
      </c>
      <c r="G125" s="256">
        <v>131536080</v>
      </c>
      <c r="H125" s="256">
        <v>7491732</v>
      </c>
      <c r="I125" s="256">
        <v>0</v>
      </c>
      <c r="J125" s="256">
        <v>26047</v>
      </c>
      <c r="K125" s="256">
        <v>0</v>
      </c>
      <c r="L125" s="256">
        <v>0</v>
      </c>
      <c r="M125" s="256">
        <v>0</v>
      </c>
      <c r="N125" s="256">
        <v>0</v>
      </c>
      <c r="O125" s="256">
        <v>0</v>
      </c>
      <c r="P125" s="256">
        <v>0</v>
      </c>
      <c r="Q125" s="256">
        <v>0</v>
      </c>
      <c r="R125" s="256">
        <v>0</v>
      </c>
      <c r="S125" s="256">
        <v>0</v>
      </c>
      <c r="T125" s="257">
        <f t="shared" si="3"/>
        <v>672818558</v>
      </c>
      <c r="U125" s="257">
        <f t="shared" si="3"/>
        <v>194824795</v>
      </c>
      <c r="V125" s="257">
        <f t="shared" si="4"/>
        <v>139027812</v>
      </c>
      <c r="W125" s="257">
        <f t="shared" si="5"/>
        <v>1156755</v>
      </c>
    </row>
    <row r="126" spans="1:23" x14ac:dyDescent="0.3">
      <c r="A126" s="241" t="s">
        <v>118</v>
      </c>
      <c r="B126" s="241">
        <v>54004</v>
      </c>
      <c r="C126" s="256">
        <v>172513091</v>
      </c>
      <c r="D126" s="256">
        <v>30789918</v>
      </c>
      <c r="E126" s="256">
        <v>202472</v>
      </c>
      <c r="F126" s="256">
        <v>514220</v>
      </c>
      <c r="G126" s="256">
        <v>27382009</v>
      </c>
      <c r="H126" s="256">
        <v>1594071</v>
      </c>
      <c r="I126" s="256">
        <v>0</v>
      </c>
      <c r="J126" s="256">
        <v>0</v>
      </c>
      <c r="K126" s="256">
        <v>0</v>
      </c>
      <c r="L126" s="256">
        <v>0</v>
      </c>
      <c r="M126" s="256">
        <v>0</v>
      </c>
      <c r="N126" s="256">
        <v>0</v>
      </c>
      <c r="O126" s="256">
        <v>0</v>
      </c>
      <c r="P126" s="256">
        <v>0</v>
      </c>
      <c r="Q126" s="256">
        <v>0</v>
      </c>
      <c r="R126" s="256">
        <v>0</v>
      </c>
      <c r="S126" s="256">
        <v>0</v>
      </c>
      <c r="T126" s="257">
        <f t="shared" si="3"/>
        <v>172513091</v>
      </c>
      <c r="U126" s="257">
        <f t="shared" si="3"/>
        <v>30789918</v>
      </c>
      <c r="V126" s="257">
        <f t="shared" si="4"/>
        <v>28976080</v>
      </c>
      <c r="W126" s="257">
        <f t="shared" si="5"/>
        <v>247901</v>
      </c>
    </row>
    <row r="127" spans="1:23" x14ac:dyDescent="0.3">
      <c r="A127" s="241" t="s">
        <v>128</v>
      </c>
      <c r="B127" s="241">
        <v>54006</v>
      </c>
      <c r="C127" s="256">
        <v>135630190</v>
      </c>
      <c r="D127" s="256">
        <v>17628502</v>
      </c>
      <c r="E127" s="256">
        <v>764462</v>
      </c>
      <c r="F127" s="256">
        <v>635059</v>
      </c>
      <c r="G127" s="256">
        <v>9485151</v>
      </c>
      <c r="H127" s="256">
        <v>11279443</v>
      </c>
      <c r="I127" s="256">
        <v>0</v>
      </c>
      <c r="J127" s="256">
        <v>0</v>
      </c>
      <c r="K127" s="256">
        <v>0</v>
      </c>
      <c r="L127" s="256">
        <v>0</v>
      </c>
      <c r="M127" s="256">
        <v>1</v>
      </c>
      <c r="N127" s="256">
        <v>0</v>
      </c>
      <c r="O127" s="256">
        <v>0</v>
      </c>
      <c r="P127" s="256">
        <v>0</v>
      </c>
      <c r="Q127" s="256">
        <v>0</v>
      </c>
      <c r="R127" s="256">
        <v>0</v>
      </c>
      <c r="S127" s="256">
        <v>0</v>
      </c>
      <c r="T127" s="257">
        <f t="shared" si="3"/>
        <v>135630190</v>
      </c>
      <c r="U127" s="257">
        <f t="shared" si="3"/>
        <v>17628502</v>
      </c>
      <c r="V127" s="257">
        <f t="shared" si="4"/>
        <v>20764595</v>
      </c>
      <c r="W127" s="257">
        <f t="shared" si="5"/>
        <v>179020</v>
      </c>
    </row>
    <row r="128" spans="1:23" x14ac:dyDescent="0.3">
      <c r="A128" s="241" t="s">
        <v>146</v>
      </c>
      <c r="B128" s="241">
        <v>54007</v>
      </c>
      <c r="C128" s="256">
        <v>194924660</v>
      </c>
      <c r="D128" s="256">
        <v>55336283</v>
      </c>
      <c r="E128" s="256">
        <v>734901</v>
      </c>
      <c r="F128" s="256">
        <v>1809792</v>
      </c>
      <c r="G128" s="256">
        <v>44142954</v>
      </c>
      <c r="H128" s="256">
        <v>1953609</v>
      </c>
      <c r="I128" s="256">
        <v>0</v>
      </c>
      <c r="J128" s="256">
        <v>0</v>
      </c>
      <c r="K128" s="256">
        <v>0</v>
      </c>
      <c r="L128" s="256">
        <v>0</v>
      </c>
      <c r="M128" s="256">
        <v>0</v>
      </c>
      <c r="N128" s="256">
        <v>0</v>
      </c>
      <c r="O128" s="256">
        <v>0</v>
      </c>
      <c r="P128" s="256">
        <v>0</v>
      </c>
      <c r="Q128" s="256">
        <v>0</v>
      </c>
      <c r="R128" s="256">
        <v>0</v>
      </c>
      <c r="S128" s="256">
        <v>0</v>
      </c>
      <c r="T128" s="257">
        <f t="shared" si="3"/>
        <v>194924660</v>
      </c>
      <c r="U128" s="257">
        <f t="shared" si="3"/>
        <v>55336283</v>
      </c>
      <c r="V128" s="257">
        <f t="shared" si="4"/>
        <v>46096563</v>
      </c>
      <c r="W128" s="257">
        <f t="shared" si="5"/>
        <v>351276</v>
      </c>
    </row>
    <row r="129" spans="1:23" x14ac:dyDescent="0.3">
      <c r="A129" s="241" t="s">
        <v>149</v>
      </c>
      <c r="B129" s="241">
        <v>55004</v>
      </c>
      <c r="C129" s="256">
        <v>221798789</v>
      </c>
      <c r="D129" s="256">
        <v>47350422</v>
      </c>
      <c r="E129" s="256">
        <v>448620</v>
      </c>
      <c r="F129" s="256">
        <v>1261274</v>
      </c>
      <c r="G129" s="256">
        <v>20464892</v>
      </c>
      <c r="H129" s="256">
        <v>2766981</v>
      </c>
      <c r="I129" s="256">
        <v>0</v>
      </c>
      <c r="J129" s="256">
        <v>1</v>
      </c>
      <c r="K129" s="256">
        <v>0</v>
      </c>
      <c r="L129" s="256">
        <v>0</v>
      </c>
      <c r="M129" s="256">
        <v>20330</v>
      </c>
      <c r="N129" s="256">
        <v>0</v>
      </c>
      <c r="O129" s="256">
        <v>0</v>
      </c>
      <c r="P129" s="256">
        <v>0</v>
      </c>
      <c r="Q129" s="256">
        <v>0</v>
      </c>
      <c r="R129" s="256">
        <v>0</v>
      </c>
      <c r="S129" s="256">
        <v>0</v>
      </c>
      <c r="T129" s="257">
        <f t="shared" si="3"/>
        <v>221798789</v>
      </c>
      <c r="U129" s="257">
        <f t="shared" si="3"/>
        <v>47350423</v>
      </c>
      <c r="V129" s="257">
        <f t="shared" si="4"/>
        <v>23252203</v>
      </c>
      <c r="W129" s="257">
        <f t="shared" si="5"/>
        <v>287394</v>
      </c>
    </row>
    <row r="130" spans="1:23" x14ac:dyDescent="0.3">
      <c r="A130" s="241" t="s">
        <v>119</v>
      </c>
      <c r="B130" s="241">
        <v>55005</v>
      </c>
      <c r="C130" s="256">
        <v>441487454</v>
      </c>
      <c r="D130" s="256">
        <v>43231010</v>
      </c>
      <c r="E130" s="256">
        <v>581109</v>
      </c>
      <c r="F130" s="256">
        <v>1462690</v>
      </c>
      <c r="G130" s="256">
        <v>15513902</v>
      </c>
      <c r="H130" s="256">
        <v>936624</v>
      </c>
      <c r="I130" s="256">
        <v>0</v>
      </c>
      <c r="J130" s="256">
        <v>0</v>
      </c>
      <c r="K130" s="256">
        <v>0</v>
      </c>
      <c r="L130" s="256">
        <v>0</v>
      </c>
      <c r="M130" s="256">
        <v>1</v>
      </c>
      <c r="N130" s="256">
        <v>0</v>
      </c>
      <c r="O130" s="256">
        <v>0</v>
      </c>
      <c r="P130" s="256">
        <v>0</v>
      </c>
      <c r="Q130" s="256">
        <v>0</v>
      </c>
      <c r="R130" s="256">
        <v>0</v>
      </c>
      <c r="S130" s="256">
        <v>0</v>
      </c>
      <c r="T130" s="257">
        <f t="shared" si="3"/>
        <v>441487454</v>
      </c>
      <c r="U130" s="257">
        <f t="shared" si="3"/>
        <v>43231010</v>
      </c>
      <c r="V130" s="257">
        <f t="shared" si="4"/>
        <v>16450527</v>
      </c>
      <c r="W130" s="257">
        <f t="shared" si="5"/>
        <v>405515</v>
      </c>
    </row>
    <row r="131" spans="1:23" x14ac:dyDescent="0.3">
      <c r="A131" s="241" t="s">
        <v>45</v>
      </c>
      <c r="B131" s="241">
        <v>56002</v>
      </c>
      <c r="C131" s="256">
        <v>461336344</v>
      </c>
      <c r="D131" s="256">
        <v>31690093</v>
      </c>
      <c r="E131" s="256">
        <v>127245</v>
      </c>
      <c r="F131" s="256">
        <v>1073447</v>
      </c>
      <c r="G131" s="256">
        <v>13329364</v>
      </c>
      <c r="H131" s="256">
        <v>8090562</v>
      </c>
      <c r="I131" s="256">
        <v>0</v>
      </c>
      <c r="J131" s="256">
        <v>0</v>
      </c>
      <c r="K131" s="256">
        <v>0</v>
      </c>
      <c r="L131" s="256">
        <v>0</v>
      </c>
      <c r="M131" s="256">
        <v>1</v>
      </c>
      <c r="N131" s="256">
        <v>0</v>
      </c>
      <c r="O131" s="256">
        <v>0</v>
      </c>
      <c r="P131" s="256">
        <v>0</v>
      </c>
      <c r="Q131" s="256">
        <v>0</v>
      </c>
      <c r="R131" s="256">
        <v>0</v>
      </c>
      <c r="S131" s="256">
        <v>0</v>
      </c>
      <c r="T131" s="257">
        <f t="shared" si="3"/>
        <v>461336344</v>
      </c>
      <c r="U131" s="257">
        <f t="shared" si="3"/>
        <v>31690093</v>
      </c>
      <c r="V131" s="257">
        <f t="shared" si="4"/>
        <v>21419927</v>
      </c>
      <c r="W131" s="257">
        <f t="shared" si="5"/>
        <v>416758</v>
      </c>
    </row>
    <row r="132" spans="1:23" x14ac:dyDescent="0.3">
      <c r="A132" s="241" t="s">
        <v>117</v>
      </c>
      <c r="B132" s="241">
        <v>56004</v>
      </c>
      <c r="C132" s="256">
        <v>422383608</v>
      </c>
      <c r="D132" s="256">
        <v>112000030</v>
      </c>
      <c r="E132" s="256">
        <v>519414</v>
      </c>
      <c r="F132" s="256">
        <v>2081696</v>
      </c>
      <c r="G132" s="256">
        <v>89896114</v>
      </c>
      <c r="H132" s="256">
        <v>33612536</v>
      </c>
      <c r="I132" s="256">
        <v>0</v>
      </c>
      <c r="J132" s="256">
        <v>1</v>
      </c>
      <c r="K132" s="256">
        <v>0</v>
      </c>
      <c r="L132" s="256">
        <v>0</v>
      </c>
      <c r="M132" s="256">
        <v>0</v>
      </c>
      <c r="N132" s="256">
        <v>0</v>
      </c>
      <c r="O132" s="256">
        <v>0</v>
      </c>
      <c r="P132" s="256">
        <v>0</v>
      </c>
      <c r="Q132" s="256">
        <v>0</v>
      </c>
      <c r="R132" s="256">
        <v>0</v>
      </c>
      <c r="S132" s="256">
        <v>0</v>
      </c>
      <c r="T132" s="257">
        <f t="shared" si="3"/>
        <v>422383608</v>
      </c>
      <c r="U132" s="257">
        <f t="shared" si="3"/>
        <v>112000031</v>
      </c>
      <c r="V132" s="257">
        <f t="shared" si="4"/>
        <v>123508650</v>
      </c>
      <c r="W132" s="257">
        <f t="shared" si="5"/>
        <v>821701</v>
      </c>
    </row>
    <row r="133" spans="1:23" x14ac:dyDescent="0.3">
      <c r="A133" s="241" t="s">
        <v>76</v>
      </c>
      <c r="B133" s="241">
        <v>56006</v>
      </c>
      <c r="C133" s="256">
        <v>560808424</v>
      </c>
      <c r="D133" s="256">
        <v>46111950</v>
      </c>
      <c r="E133" s="256">
        <v>667924</v>
      </c>
      <c r="F133" s="256">
        <v>2581210</v>
      </c>
      <c r="G133" s="256">
        <v>28394789</v>
      </c>
      <c r="H133" s="256">
        <v>39453418</v>
      </c>
      <c r="I133" s="256">
        <v>0</v>
      </c>
      <c r="J133" s="256">
        <v>0</v>
      </c>
      <c r="K133" s="256">
        <v>0</v>
      </c>
      <c r="L133" s="256">
        <v>0</v>
      </c>
      <c r="M133" s="256">
        <v>0</v>
      </c>
      <c r="N133" s="256">
        <v>0</v>
      </c>
      <c r="O133" s="256">
        <v>0</v>
      </c>
      <c r="P133" s="256">
        <v>0</v>
      </c>
      <c r="Q133" s="256">
        <v>0</v>
      </c>
      <c r="R133" s="256">
        <v>0</v>
      </c>
      <c r="S133" s="256">
        <v>0</v>
      </c>
      <c r="T133" s="257">
        <f t="shared" si="3"/>
        <v>560808424</v>
      </c>
      <c r="U133" s="257">
        <f t="shared" si="3"/>
        <v>46111950</v>
      </c>
      <c r="V133" s="257">
        <f t="shared" si="4"/>
        <v>67848207</v>
      </c>
      <c r="W133" s="257">
        <f t="shared" si="5"/>
        <v>645619</v>
      </c>
    </row>
    <row r="134" spans="1:23" x14ac:dyDescent="0.3">
      <c r="A134" s="241" t="s">
        <v>109</v>
      </c>
      <c r="B134" s="241">
        <v>56007</v>
      </c>
      <c r="C134" s="256">
        <v>694463055</v>
      </c>
      <c r="D134" s="256">
        <v>52602591</v>
      </c>
      <c r="E134" s="256">
        <v>508630</v>
      </c>
      <c r="F134" s="256">
        <v>3205630</v>
      </c>
      <c r="G134" s="256">
        <v>25551127</v>
      </c>
      <c r="H134" s="256">
        <v>28524356</v>
      </c>
      <c r="I134" s="256">
        <v>1</v>
      </c>
      <c r="J134" s="256">
        <v>0</v>
      </c>
      <c r="K134" s="256">
        <v>0</v>
      </c>
      <c r="L134" s="256">
        <v>0</v>
      </c>
      <c r="M134" s="256">
        <v>0</v>
      </c>
      <c r="N134" s="256">
        <v>0</v>
      </c>
      <c r="O134" s="256">
        <v>0</v>
      </c>
      <c r="P134" s="256">
        <v>0</v>
      </c>
      <c r="Q134" s="256">
        <v>0</v>
      </c>
      <c r="R134" s="256">
        <v>0</v>
      </c>
      <c r="S134" s="256">
        <v>0</v>
      </c>
      <c r="T134" s="257">
        <f t="shared" si="3"/>
        <v>694463056</v>
      </c>
      <c r="U134" s="257">
        <f t="shared" si="3"/>
        <v>52602591</v>
      </c>
      <c r="V134" s="257">
        <f t="shared" si="4"/>
        <v>54075483</v>
      </c>
      <c r="W134" s="257">
        <f t="shared" si="5"/>
        <v>701321</v>
      </c>
    </row>
    <row r="135" spans="1:23" x14ac:dyDescent="0.3">
      <c r="A135" s="241" t="s">
        <v>127</v>
      </c>
      <c r="B135" s="241">
        <v>57001</v>
      </c>
      <c r="C135" s="256">
        <v>299879978</v>
      </c>
      <c r="D135" s="256">
        <v>237298788</v>
      </c>
      <c r="E135" s="256">
        <v>1756484</v>
      </c>
      <c r="F135" s="256">
        <v>11376596</v>
      </c>
      <c r="G135" s="256">
        <v>130927673</v>
      </c>
      <c r="H135" s="256">
        <v>1130554</v>
      </c>
      <c r="I135" s="256">
        <v>0</v>
      </c>
      <c r="J135" s="256">
        <v>0</v>
      </c>
      <c r="K135" s="256">
        <v>0</v>
      </c>
      <c r="L135" s="256">
        <v>0</v>
      </c>
      <c r="M135" s="256">
        <v>0</v>
      </c>
      <c r="N135" s="256">
        <v>0</v>
      </c>
      <c r="O135" s="256">
        <v>0</v>
      </c>
      <c r="P135" s="256">
        <v>0</v>
      </c>
      <c r="Q135" s="256">
        <v>0</v>
      </c>
      <c r="R135" s="256">
        <v>0</v>
      </c>
      <c r="S135" s="256">
        <v>0</v>
      </c>
      <c r="T135" s="257">
        <f t="shared" ref="T135:U153" si="6">C135+I135+N135</f>
        <v>299879978</v>
      </c>
      <c r="U135" s="257">
        <f t="shared" si="6"/>
        <v>237298788</v>
      </c>
      <c r="V135" s="257">
        <f t="shared" ref="V135:V153" si="7">G135+H135+M135+R135+S135</f>
        <v>132058227</v>
      </c>
      <c r="W135" s="257">
        <f t="shared" ref="W135:W153" si="8">ROUND(((T135*1.32)/1000+(U135*2.954)/1000+(V135*6.113)/1000)/2,0)</f>
        <v>952047</v>
      </c>
    </row>
    <row r="136" spans="1:23" x14ac:dyDescent="0.3">
      <c r="A136" s="241" t="s">
        <v>13</v>
      </c>
      <c r="B136" s="241">
        <v>58003</v>
      </c>
      <c r="C136" s="256">
        <v>937693056</v>
      </c>
      <c r="D136" s="256">
        <v>105129143</v>
      </c>
      <c r="E136" s="256">
        <v>7473935</v>
      </c>
      <c r="F136" s="256">
        <v>8414737</v>
      </c>
      <c r="G136" s="256">
        <v>126544858</v>
      </c>
      <c r="H136" s="256">
        <v>918226</v>
      </c>
      <c r="I136" s="256">
        <v>0</v>
      </c>
      <c r="J136" s="256">
        <v>0</v>
      </c>
      <c r="K136" s="256">
        <v>0</v>
      </c>
      <c r="L136" s="256">
        <v>0</v>
      </c>
      <c r="M136" s="256">
        <v>1</v>
      </c>
      <c r="N136" s="256">
        <v>0</v>
      </c>
      <c r="O136" s="256">
        <v>0</v>
      </c>
      <c r="P136" s="256">
        <v>0</v>
      </c>
      <c r="Q136" s="256">
        <v>0</v>
      </c>
      <c r="R136" s="256">
        <v>0</v>
      </c>
      <c r="S136" s="256">
        <v>0</v>
      </c>
      <c r="T136" s="257">
        <f t="shared" si="6"/>
        <v>937693056</v>
      </c>
      <c r="U136" s="257">
        <f t="shared" si="6"/>
        <v>105129143</v>
      </c>
      <c r="V136" s="257">
        <f t="shared" si="7"/>
        <v>127463085</v>
      </c>
      <c r="W136" s="257">
        <f t="shared" si="8"/>
        <v>1163744</v>
      </c>
    </row>
    <row r="137" spans="1:23" x14ac:dyDescent="0.3">
      <c r="A137" s="241" t="s">
        <v>147</v>
      </c>
      <c r="B137" s="241">
        <v>59002</v>
      </c>
      <c r="C137" s="256">
        <v>662239934</v>
      </c>
      <c r="D137" s="256">
        <v>133100358</v>
      </c>
      <c r="E137" s="256">
        <v>2671328</v>
      </c>
      <c r="F137" s="256">
        <v>5169856</v>
      </c>
      <c r="G137" s="256">
        <v>97993773</v>
      </c>
      <c r="H137" s="256">
        <v>829</v>
      </c>
      <c r="I137" s="256">
        <v>0</v>
      </c>
      <c r="J137" s="256">
        <v>0</v>
      </c>
      <c r="K137" s="256">
        <v>0</v>
      </c>
      <c r="L137" s="256">
        <v>0</v>
      </c>
      <c r="M137" s="256">
        <v>101488</v>
      </c>
      <c r="N137" s="256">
        <v>0</v>
      </c>
      <c r="O137" s="256">
        <v>0</v>
      </c>
      <c r="P137" s="256">
        <v>0</v>
      </c>
      <c r="Q137" s="256">
        <v>0</v>
      </c>
      <c r="R137" s="256">
        <v>0</v>
      </c>
      <c r="S137" s="256">
        <v>0</v>
      </c>
      <c r="T137" s="257">
        <f t="shared" si="6"/>
        <v>662239934</v>
      </c>
      <c r="U137" s="257">
        <f t="shared" si="6"/>
        <v>133100358</v>
      </c>
      <c r="V137" s="257">
        <f t="shared" si="7"/>
        <v>98096090</v>
      </c>
      <c r="W137" s="257">
        <f t="shared" si="8"/>
        <v>933498</v>
      </c>
    </row>
    <row r="138" spans="1:23" x14ac:dyDescent="0.3">
      <c r="A138" s="241" t="s">
        <v>38</v>
      </c>
      <c r="B138" s="241">
        <v>59003</v>
      </c>
      <c r="C138" s="256">
        <v>316945450</v>
      </c>
      <c r="D138" s="256">
        <v>17789494</v>
      </c>
      <c r="E138" s="256">
        <v>759815</v>
      </c>
      <c r="F138" s="256">
        <v>3379417</v>
      </c>
      <c r="G138" s="256">
        <v>12339020</v>
      </c>
      <c r="H138" s="256">
        <v>503</v>
      </c>
      <c r="I138" s="256">
        <v>0</v>
      </c>
      <c r="J138" s="256">
        <v>0</v>
      </c>
      <c r="K138" s="256">
        <v>0</v>
      </c>
      <c r="L138" s="256">
        <v>0</v>
      </c>
      <c r="M138" s="256">
        <v>0</v>
      </c>
      <c r="N138" s="256">
        <v>0</v>
      </c>
      <c r="O138" s="256">
        <v>0</v>
      </c>
      <c r="P138" s="256">
        <v>0</v>
      </c>
      <c r="Q138" s="256">
        <v>0</v>
      </c>
      <c r="R138" s="256">
        <v>0</v>
      </c>
      <c r="S138" s="256">
        <v>0</v>
      </c>
      <c r="T138" s="257">
        <f t="shared" si="6"/>
        <v>316945450</v>
      </c>
      <c r="U138" s="257">
        <f t="shared" si="6"/>
        <v>17789494</v>
      </c>
      <c r="V138" s="257">
        <f t="shared" si="7"/>
        <v>12339523</v>
      </c>
      <c r="W138" s="257">
        <f t="shared" si="8"/>
        <v>273175</v>
      </c>
    </row>
    <row r="139" spans="1:23" x14ac:dyDescent="0.3">
      <c r="A139" s="241" t="s">
        <v>34</v>
      </c>
      <c r="B139" s="241">
        <v>60001</v>
      </c>
      <c r="C139" s="256">
        <v>210738019</v>
      </c>
      <c r="D139" s="256">
        <v>99369967</v>
      </c>
      <c r="E139" s="256">
        <v>55800</v>
      </c>
      <c r="F139" s="256">
        <v>1875034</v>
      </c>
      <c r="G139" s="256">
        <v>22661300</v>
      </c>
      <c r="H139" s="256">
        <v>2175756</v>
      </c>
      <c r="I139" s="256">
        <v>2</v>
      </c>
      <c r="J139" s="256">
        <v>9</v>
      </c>
      <c r="K139" s="256">
        <v>0</v>
      </c>
      <c r="L139" s="256">
        <v>0</v>
      </c>
      <c r="M139" s="256">
        <v>4</v>
      </c>
      <c r="N139" s="256">
        <v>0</v>
      </c>
      <c r="O139" s="256">
        <v>0</v>
      </c>
      <c r="P139" s="256">
        <v>0</v>
      </c>
      <c r="Q139" s="256">
        <v>0</v>
      </c>
      <c r="R139" s="256">
        <v>0</v>
      </c>
      <c r="S139" s="256">
        <v>0</v>
      </c>
      <c r="T139" s="257">
        <f t="shared" si="6"/>
        <v>210738021</v>
      </c>
      <c r="U139" s="257">
        <f t="shared" si="6"/>
        <v>99369976</v>
      </c>
      <c r="V139" s="257">
        <f t="shared" si="7"/>
        <v>24837060</v>
      </c>
      <c r="W139" s="257">
        <f t="shared" si="8"/>
        <v>361771</v>
      </c>
    </row>
    <row r="140" spans="1:23" x14ac:dyDescent="0.3">
      <c r="A140" s="241" t="s">
        <v>95</v>
      </c>
      <c r="B140" s="241">
        <v>60003</v>
      </c>
      <c r="C140" s="256">
        <v>147241911</v>
      </c>
      <c r="D140" s="256">
        <v>95321849</v>
      </c>
      <c r="E140" s="256">
        <v>241958</v>
      </c>
      <c r="F140" s="256">
        <v>1201325</v>
      </c>
      <c r="G140" s="256">
        <v>66637746</v>
      </c>
      <c r="H140" s="256">
        <v>2213817</v>
      </c>
      <c r="I140" s="256">
        <v>0</v>
      </c>
      <c r="J140" s="256">
        <v>5</v>
      </c>
      <c r="K140" s="256">
        <v>0</v>
      </c>
      <c r="L140" s="256">
        <v>0</v>
      </c>
      <c r="M140" s="256">
        <v>0</v>
      </c>
      <c r="N140" s="256">
        <v>0</v>
      </c>
      <c r="O140" s="256">
        <v>0</v>
      </c>
      <c r="P140" s="256">
        <v>0</v>
      </c>
      <c r="Q140" s="256">
        <v>0</v>
      </c>
      <c r="R140" s="256">
        <v>0</v>
      </c>
      <c r="S140" s="256">
        <v>0</v>
      </c>
      <c r="T140" s="257">
        <f t="shared" si="6"/>
        <v>147241911</v>
      </c>
      <c r="U140" s="257">
        <f t="shared" si="6"/>
        <v>95321854</v>
      </c>
      <c r="V140" s="257">
        <f t="shared" si="7"/>
        <v>68851563</v>
      </c>
      <c r="W140" s="257">
        <f t="shared" si="8"/>
        <v>448415</v>
      </c>
    </row>
    <row r="141" spans="1:23" x14ac:dyDescent="0.3">
      <c r="A141" s="241" t="s">
        <v>111</v>
      </c>
      <c r="B141" s="241">
        <v>60004</v>
      </c>
      <c r="C141" s="256">
        <v>187362431</v>
      </c>
      <c r="D141" s="256">
        <v>210321965</v>
      </c>
      <c r="E141" s="256">
        <v>333565</v>
      </c>
      <c r="F141" s="256">
        <v>1775310</v>
      </c>
      <c r="G141" s="256">
        <v>45384807</v>
      </c>
      <c r="H141" s="256">
        <v>2178075</v>
      </c>
      <c r="I141" s="256">
        <v>11</v>
      </c>
      <c r="J141" s="256">
        <v>0</v>
      </c>
      <c r="K141" s="256">
        <v>0</v>
      </c>
      <c r="L141" s="256">
        <v>0</v>
      </c>
      <c r="M141" s="256">
        <v>12</v>
      </c>
      <c r="N141" s="256">
        <v>0</v>
      </c>
      <c r="O141" s="256">
        <v>0</v>
      </c>
      <c r="P141" s="256">
        <v>0</v>
      </c>
      <c r="Q141" s="256">
        <v>0</v>
      </c>
      <c r="R141" s="256">
        <v>0</v>
      </c>
      <c r="S141" s="256">
        <v>0</v>
      </c>
      <c r="T141" s="257">
        <f t="shared" si="6"/>
        <v>187362442</v>
      </c>
      <c r="U141" s="257">
        <f t="shared" si="6"/>
        <v>210321965</v>
      </c>
      <c r="V141" s="257">
        <f t="shared" si="7"/>
        <v>47562894</v>
      </c>
      <c r="W141" s="257">
        <f t="shared" si="8"/>
        <v>579681</v>
      </c>
    </row>
    <row r="142" spans="1:23" x14ac:dyDescent="0.3">
      <c r="A142" s="241" t="s">
        <v>404</v>
      </c>
      <c r="B142" s="241">
        <v>60006</v>
      </c>
      <c r="C142" s="256">
        <v>296243253</v>
      </c>
      <c r="D142" s="256">
        <v>154875245</v>
      </c>
      <c r="E142" s="256">
        <v>845760</v>
      </c>
      <c r="F142" s="256">
        <v>2392985</v>
      </c>
      <c r="G142" s="256">
        <v>53895847</v>
      </c>
      <c r="H142" s="256">
        <v>270570</v>
      </c>
      <c r="I142" s="256">
        <v>11</v>
      </c>
      <c r="J142" s="256">
        <v>0</v>
      </c>
      <c r="K142" s="256">
        <v>0</v>
      </c>
      <c r="L142" s="256">
        <v>0</v>
      </c>
      <c r="M142" s="256">
        <v>8</v>
      </c>
      <c r="N142" s="256">
        <v>0</v>
      </c>
      <c r="O142" s="256">
        <v>0</v>
      </c>
      <c r="P142" s="256">
        <v>0</v>
      </c>
      <c r="Q142" s="256">
        <v>0</v>
      </c>
      <c r="R142" s="256">
        <v>0</v>
      </c>
      <c r="S142" s="256">
        <v>0</v>
      </c>
      <c r="T142" s="257">
        <f t="shared" si="6"/>
        <v>296243264</v>
      </c>
      <c r="U142" s="257">
        <f t="shared" si="6"/>
        <v>154875245</v>
      </c>
      <c r="V142" s="257">
        <f t="shared" si="7"/>
        <v>54166425</v>
      </c>
      <c r="W142" s="257">
        <f t="shared" si="8"/>
        <v>589831</v>
      </c>
    </row>
    <row r="143" spans="1:23" x14ac:dyDescent="0.3">
      <c r="A143" s="241" t="s">
        <v>405</v>
      </c>
      <c r="B143" s="241">
        <v>61001</v>
      </c>
      <c r="C143" s="256">
        <v>263261787</v>
      </c>
      <c r="D143" s="256">
        <v>131846378</v>
      </c>
      <c r="E143" s="256">
        <v>24294</v>
      </c>
      <c r="F143" s="256">
        <v>888429</v>
      </c>
      <c r="G143" s="256">
        <v>61471324</v>
      </c>
      <c r="H143" s="256">
        <v>5693630</v>
      </c>
      <c r="I143" s="256">
        <v>0</v>
      </c>
      <c r="J143" s="256">
        <v>0</v>
      </c>
      <c r="K143" s="256">
        <v>0</v>
      </c>
      <c r="L143" s="256">
        <v>0</v>
      </c>
      <c r="M143" s="256">
        <v>0</v>
      </c>
      <c r="N143" s="256">
        <v>0</v>
      </c>
      <c r="O143" s="256">
        <v>0</v>
      </c>
      <c r="P143" s="256">
        <v>0</v>
      </c>
      <c r="Q143" s="256">
        <v>0</v>
      </c>
      <c r="R143" s="256">
        <v>0</v>
      </c>
      <c r="S143" s="256">
        <v>0</v>
      </c>
      <c r="T143" s="257">
        <f t="shared" si="6"/>
        <v>263261787</v>
      </c>
      <c r="U143" s="257">
        <f t="shared" si="6"/>
        <v>131846378</v>
      </c>
      <c r="V143" s="257">
        <f t="shared" si="7"/>
        <v>67164954</v>
      </c>
      <c r="W143" s="257">
        <f t="shared" si="8"/>
        <v>573780</v>
      </c>
    </row>
    <row r="144" spans="1:23" x14ac:dyDescent="0.3">
      <c r="A144" s="241" t="s">
        <v>21</v>
      </c>
      <c r="B144" s="241">
        <v>61002</v>
      </c>
      <c r="C144" s="256">
        <v>324717897</v>
      </c>
      <c r="D144" s="256">
        <v>252494942</v>
      </c>
      <c r="E144" s="256">
        <v>497803</v>
      </c>
      <c r="F144" s="256">
        <v>730541</v>
      </c>
      <c r="G144" s="256">
        <v>100461104</v>
      </c>
      <c r="H144" s="256">
        <v>3844842</v>
      </c>
      <c r="I144" s="256">
        <v>2</v>
      </c>
      <c r="J144" s="256">
        <v>0</v>
      </c>
      <c r="K144" s="256">
        <v>0</v>
      </c>
      <c r="L144" s="256">
        <v>0</v>
      </c>
      <c r="M144" s="256">
        <v>0</v>
      </c>
      <c r="N144" s="256">
        <v>0</v>
      </c>
      <c r="O144" s="256">
        <v>0</v>
      </c>
      <c r="P144" s="256">
        <v>0</v>
      </c>
      <c r="Q144" s="256">
        <v>0</v>
      </c>
      <c r="R144" s="256">
        <v>0</v>
      </c>
      <c r="S144" s="256">
        <v>0</v>
      </c>
      <c r="T144" s="257">
        <f t="shared" si="6"/>
        <v>324717899</v>
      </c>
      <c r="U144" s="257">
        <f t="shared" si="6"/>
        <v>252494942</v>
      </c>
      <c r="V144" s="257">
        <f t="shared" si="7"/>
        <v>104305946</v>
      </c>
      <c r="W144" s="257">
        <f t="shared" si="8"/>
        <v>906060</v>
      </c>
    </row>
    <row r="145" spans="1:23" x14ac:dyDescent="0.3">
      <c r="A145" s="241" t="s">
        <v>52</v>
      </c>
      <c r="B145" s="241">
        <v>61007</v>
      </c>
      <c r="C145" s="256">
        <v>309856974</v>
      </c>
      <c r="D145" s="256">
        <v>287512835</v>
      </c>
      <c r="E145" s="256">
        <v>369740</v>
      </c>
      <c r="F145" s="256">
        <v>404617</v>
      </c>
      <c r="G145" s="256">
        <v>66572556</v>
      </c>
      <c r="H145" s="256">
        <v>7483054</v>
      </c>
      <c r="I145" s="256">
        <v>0</v>
      </c>
      <c r="J145" s="256">
        <v>0</v>
      </c>
      <c r="K145" s="256">
        <v>0</v>
      </c>
      <c r="L145" s="256">
        <v>0</v>
      </c>
      <c r="M145" s="256">
        <v>0</v>
      </c>
      <c r="N145" s="256">
        <v>0</v>
      </c>
      <c r="O145" s="256">
        <v>0</v>
      </c>
      <c r="P145" s="256">
        <v>0</v>
      </c>
      <c r="Q145" s="256">
        <v>0</v>
      </c>
      <c r="R145" s="256">
        <v>0</v>
      </c>
      <c r="S145" s="256">
        <v>0</v>
      </c>
      <c r="T145" s="257">
        <f t="shared" si="6"/>
        <v>309856974</v>
      </c>
      <c r="U145" s="257">
        <f t="shared" si="6"/>
        <v>287512835</v>
      </c>
      <c r="V145" s="257">
        <f t="shared" si="7"/>
        <v>74055610</v>
      </c>
      <c r="W145" s="257">
        <f t="shared" si="8"/>
        <v>855513</v>
      </c>
    </row>
    <row r="146" spans="1:23" x14ac:dyDescent="0.3">
      <c r="A146" s="241" t="s">
        <v>40</v>
      </c>
      <c r="B146" s="241">
        <v>61008</v>
      </c>
      <c r="C146" s="256">
        <v>20857231</v>
      </c>
      <c r="D146" s="256">
        <v>929171147</v>
      </c>
      <c r="E146" s="256">
        <v>1600517</v>
      </c>
      <c r="F146" s="256">
        <v>3218305</v>
      </c>
      <c r="G146" s="256">
        <v>363064502</v>
      </c>
      <c r="H146" s="256">
        <v>8732494</v>
      </c>
      <c r="I146" s="256">
        <v>0</v>
      </c>
      <c r="J146" s="256">
        <v>0</v>
      </c>
      <c r="K146" s="256">
        <v>0</v>
      </c>
      <c r="L146" s="256">
        <v>0</v>
      </c>
      <c r="M146" s="256">
        <v>0</v>
      </c>
      <c r="N146" s="256">
        <v>0</v>
      </c>
      <c r="O146" s="256">
        <v>0</v>
      </c>
      <c r="P146" s="256">
        <v>0</v>
      </c>
      <c r="Q146" s="256">
        <v>0</v>
      </c>
      <c r="R146" s="256">
        <v>0</v>
      </c>
      <c r="S146" s="256">
        <v>0</v>
      </c>
      <c r="T146" s="257">
        <f t="shared" si="6"/>
        <v>20857231</v>
      </c>
      <c r="U146" s="257">
        <f t="shared" si="6"/>
        <v>929171147</v>
      </c>
      <c r="V146" s="257">
        <f t="shared" si="7"/>
        <v>371796996</v>
      </c>
      <c r="W146" s="257">
        <f t="shared" si="8"/>
        <v>2522549</v>
      </c>
    </row>
    <row r="147" spans="1:23" x14ac:dyDescent="0.3">
      <c r="A147" s="241" t="s">
        <v>121</v>
      </c>
      <c r="B147" s="241">
        <v>62005</v>
      </c>
      <c r="C147" s="256">
        <v>482009248</v>
      </c>
      <c r="D147" s="256">
        <v>54273435</v>
      </c>
      <c r="E147" s="256">
        <v>5114074</v>
      </c>
      <c r="F147" s="256">
        <v>5820888</v>
      </c>
      <c r="G147" s="256">
        <v>47968772</v>
      </c>
      <c r="H147" s="256">
        <v>16747144</v>
      </c>
      <c r="I147" s="256">
        <v>1</v>
      </c>
      <c r="J147" s="256">
        <v>0</v>
      </c>
      <c r="K147" s="256">
        <v>0</v>
      </c>
      <c r="L147" s="256">
        <v>0</v>
      </c>
      <c r="M147" s="256">
        <v>0</v>
      </c>
      <c r="N147" s="256">
        <v>0</v>
      </c>
      <c r="O147" s="256">
        <v>0</v>
      </c>
      <c r="P147" s="256">
        <v>0</v>
      </c>
      <c r="Q147" s="256">
        <v>0</v>
      </c>
      <c r="R147" s="256">
        <v>0</v>
      </c>
      <c r="S147" s="256">
        <v>0</v>
      </c>
      <c r="T147" s="257">
        <f t="shared" si="6"/>
        <v>482009249</v>
      </c>
      <c r="U147" s="257">
        <f t="shared" si="6"/>
        <v>54273435</v>
      </c>
      <c r="V147" s="257">
        <f t="shared" si="7"/>
        <v>64715916</v>
      </c>
      <c r="W147" s="257">
        <f t="shared" si="8"/>
        <v>596092</v>
      </c>
    </row>
    <row r="148" spans="1:23" x14ac:dyDescent="0.3">
      <c r="A148" s="241" t="s">
        <v>104</v>
      </c>
      <c r="B148" s="241">
        <v>62006</v>
      </c>
      <c r="C148" s="256">
        <v>142060634</v>
      </c>
      <c r="D148" s="256">
        <v>145817736</v>
      </c>
      <c r="E148" s="256">
        <v>1982077</v>
      </c>
      <c r="F148" s="256">
        <v>3391135</v>
      </c>
      <c r="G148" s="256">
        <v>96805550</v>
      </c>
      <c r="H148" s="256">
        <v>7543703</v>
      </c>
      <c r="I148" s="256">
        <v>0</v>
      </c>
      <c r="J148" s="256">
        <v>0</v>
      </c>
      <c r="K148" s="256">
        <v>0</v>
      </c>
      <c r="L148" s="256">
        <v>0</v>
      </c>
      <c r="M148" s="256">
        <v>0</v>
      </c>
      <c r="N148" s="256">
        <v>0</v>
      </c>
      <c r="O148" s="256">
        <v>0</v>
      </c>
      <c r="P148" s="256">
        <v>0</v>
      </c>
      <c r="Q148" s="256">
        <v>0</v>
      </c>
      <c r="R148" s="256">
        <v>0</v>
      </c>
      <c r="S148" s="256">
        <v>0</v>
      </c>
      <c r="T148" s="257">
        <f t="shared" si="6"/>
        <v>142060634</v>
      </c>
      <c r="U148" s="257">
        <f t="shared" si="6"/>
        <v>145817736</v>
      </c>
      <c r="V148" s="257">
        <f t="shared" si="7"/>
        <v>104349253</v>
      </c>
      <c r="W148" s="257">
        <f t="shared" si="8"/>
        <v>628076</v>
      </c>
    </row>
    <row r="149" spans="1:23" x14ac:dyDescent="0.3">
      <c r="A149" s="241" t="s">
        <v>63</v>
      </c>
      <c r="B149" s="241">
        <v>63001</v>
      </c>
      <c r="C149" s="256">
        <v>108329771</v>
      </c>
      <c r="D149" s="256">
        <v>41780773</v>
      </c>
      <c r="E149" s="256">
        <v>79482</v>
      </c>
      <c r="F149" s="256">
        <v>1665239</v>
      </c>
      <c r="G149" s="256">
        <v>7865459</v>
      </c>
      <c r="H149" s="256">
        <v>1651153</v>
      </c>
      <c r="I149" s="256">
        <v>0</v>
      </c>
      <c r="J149" s="256">
        <v>0</v>
      </c>
      <c r="K149" s="256">
        <v>0</v>
      </c>
      <c r="L149" s="256">
        <v>0</v>
      </c>
      <c r="M149" s="256">
        <v>0</v>
      </c>
      <c r="N149" s="256">
        <v>0</v>
      </c>
      <c r="O149" s="256">
        <v>0</v>
      </c>
      <c r="P149" s="256">
        <v>0</v>
      </c>
      <c r="Q149" s="256">
        <v>0</v>
      </c>
      <c r="R149" s="256">
        <v>0</v>
      </c>
      <c r="S149" s="256">
        <v>0</v>
      </c>
      <c r="T149" s="257">
        <f t="shared" si="6"/>
        <v>108329771</v>
      </c>
      <c r="U149" s="257">
        <f t="shared" si="6"/>
        <v>41780773</v>
      </c>
      <c r="V149" s="257">
        <f t="shared" si="7"/>
        <v>9516612</v>
      </c>
      <c r="W149" s="257">
        <f t="shared" si="8"/>
        <v>162295</v>
      </c>
    </row>
    <row r="150" spans="1:23" x14ac:dyDescent="0.3">
      <c r="A150" s="241" t="s">
        <v>150</v>
      </c>
      <c r="B150" s="241">
        <v>63003</v>
      </c>
      <c r="C150" s="256">
        <v>229735414</v>
      </c>
      <c r="D150" s="256">
        <v>1212419105</v>
      </c>
      <c r="E150" s="256">
        <v>6090849</v>
      </c>
      <c r="F150" s="256">
        <v>10373139</v>
      </c>
      <c r="G150" s="256">
        <v>522738953</v>
      </c>
      <c r="H150" s="256">
        <v>56221009</v>
      </c>
      <c r="I150" s="256">
        <v>0</v>
      </c>
      <c r="J150" s="256">
        <v>0</v>
      </c>
      <c r="K150" s="256">
        <v>0</v>
      </c>
      <c r="L150" s="256">
        <v>0</v>
      </c>
      <c r="M150" s="256">
        <v>4</v>
      </c>
      <c r="N150" s="256">
        <v>0</v>
      </c>
      <c r="O150" s="256">
        <v>0</v>
      </c>
      <c r="P150" s="256">
        <v>0</v>
      </c>
      <c r="Q150" s="256">
        <v>0</v>
      </c>
      <c r="R150" s="256">
        <v>0</v>
      </c>
      <c r="S150" s="256">
        <v>0</v>
      </c>
      <c r="T150" s="257">
        <f t="shared" si="6"/>
        <v>229735414</v>
      </c>
      <c r="U150" s="257">
        <f t="shared" si="6"/>
        <v>1212419105</v>
      </c>
      <c r="V150" s="257">
        <f t="shared" si="7"/>
        <v>578959966</v>
      </c>
      <c r="W150" s="257">
        <f t="shared" si="8"/>
        <v>3711960</v>
      </c>
    </row>
    <row r="151" spans="1:23" x14ac:dyDescent="0.3">
      <c r="A151" s="241" t="s">
        <v>47</v>
      </c>
      <c r="B151" s="241">
        <v>64002</v>
      </c>
      <c r="C151" s="256">
        <v>224435448</v>
      </c>
      <c r="D151" s="256">
        <v>5793623</v>
      </c>
      <c r="E151" s="256">
        <v>569105</v>
      </c>
      <c r="F151" s="256">
        <v>2852929</v>
      </c>
      <c r="G151" s="256">
        <v>5922602</v>
      </c>
      <c r="H151" s="256">
        <v>391</v>
      </c>
      <c r="I151" s="256">
        <v>0</v>
      </c>
      <c r="J151" s="256">
        <v>0</v>
      </c>
      <c r="K151" s="256">
        <v>0</v>
      </c>
      <c r="L151" s="256">
        <v>0</v>
      </c>
      <c r="M151" s="256">
        <v>0</v>
      </c>
      <c r="N151" s="256">
        <v>0</v>
      </c>
      <c r="O151" s="256">
        <v>0</v>
      </c>
      <c r="P151" s="256">
        <v>0</v>
      </c>
      <c r="Q151" s="256">
        <v>0</v>
      </c>
      <c r="R151" s="256">
        <v>0</v>
      </c>
      <c r="S151" s="256">
        <v>0</v>
      </c>
      <c r="T151" s="257">
        <f t="shared" si="6"/>
        <v>224435448</v>
      </c>
      <c r="U151" s="257">
        <f t="shared" si="6"/>
        <v>5793623</v>
      </c>
      <c r="V151" s="257">
        <f t="shared" si="7"/>
        <v>5922993</v>
      </c>
      <c r="W151" s="257">
        <f t="shared" si="8"/>
        <v>174788</v>
      </c>
    </row>
    <row r="152" spans="1:23" x14ac:dyDescent="0.3">
      <c r="A152" s="241" t="s">
        <v>406</v>
      </c>
      <c r="B152" s="241">
        <v>65001</v>
      </c>
      <c r="C152" s="256">
        <v>45787158</v>
      </c>
      <c r="D152" s="256">
        <v>5361050</v>
      </c>
      <c r="E152" s="256">
        <v>496860</v>
      </c>
      <c r="F152" s="256">
        <v>418610</v>
      </c>
      <c r="G152" s="256">
        <v>13578400</v>
      </c>
      <c r="H152" s="256">
        <v>1032720</v>
      </c>
      <c r="I152" s="256">
        <v>0</v>
      </c>
      <c r="J152" s="256">
        <v>0</v>
      </c>
      <c r="K152" s="256">
        <v>0</v>
      </c>
      <c r="L152" s="256">
        <v>0</v>
      </c>
      <c r="M152" s="256">
        <v>0</v>
      </c>
      <c r="N152" s="256">
        <v>0</v>
      </c>
      <c r="O152" s="256">
        <v>0</v>
      </c>
      <c r="P152" s="256">
        <v>0</v>
      </c>
      <c r="Q152" s="256">
        <v>0</v>
      </c>
      <c r="R152" s="256">
        <v>0</v>
      </c>
      <c r="S152" s="256">
        <v>0</v>
      </c>
      <c r="T152" s="257">
        <f t="shared" si="6"/>
        <v>45787158</v>
      </c>
      <c r="U152" s="257">
        <f t="shared" si="6"/>
        <v>5361050</v>
      </c>
      <c r="V152" s="257">
        <f t="shared" si="7"/>
        <v>14611120</v>
      </c>
      <c r="W152" s="257">
        <f t="shared" si="8"/>
        <v>82797</v>
      </c>
    </row>
    <row r="153" spans="1:23" x14ac:dyDescent="0.3">
      <c r="A153" s="241" t="s">
        <v>131</v>
      </c>
      <c r="B153" s="241">
        <v>66001</v>
      </c>
      <c r="C153" s="256">
        <v>176961664</v>
      </c>
      <c r="D153" s="256">
        <v>12131531</v>
      </c>
      <c r="E153" s="256">
        <v>983775</v>
      </c>
      <c r="F153" s="256">
        <v>2145126</v>
      </c>
      <c r="G153" s="256">
        <v>17573828</v>
      </c>
      <c r="H153" s="256">
        <v>459873</v>
      </c>
      <c r="I153" s="256">
        <v>0</v>
      </c>
      <c r="J153" s="256">
        <v>0</v>
      </c>
      <c r="K153" s="256">
        <v>0</v>
      </c>
      <c r="L153" s="256">
        <v>0</v>
      </c>
      <c r="M153" s="256">
        <v>0</v>
      </c>
      <c r="N153" s="256">
        <v>0</v>
      </c>
      <c r="O153" s="256">
        <v>0</v>
      </c>
      <c r="P153" s="256">
        <v>0</v>
      </c>
      <c r="Q153" s="256">
        <v>0</v>
      </c>
      <c r="R153" s="256">
        <v>0</v>
      </c>
      <c r="S153" s="256">
        <v>0</v>
      </c>
      <c r="T153" s="257">
        <f t="shared" si="6"/>
        <v>176961664</v>
      </c>
      <c r="U153" s="257">
        <f t="shared" si="6"/>
        <v>12131531</v>
      </c>
      <c r="V153" s="257">
        <f t="shared" si="7"/>
        <v>18033701</v>
      </c>
      <c r="W153" s="257">
        <f t="shared" si="8"/>
        <v>189833</v>
      </c>
    </row>
    <row r="154" spans="1:23" x14ac:dyDescent="0.3">
      <c r="C154" s="256"/>
      <c r="D154" s="256"/>
      <c r="E154" s="256"/>
      <c r="F154" s="256"/>
      <c r="G154" s="256"/>
      <c r="H154" s="256"/>
      <c r="I154" s="256"/>
      <c r="J154" s="256"/>
      <c r="K154" s="256"/>
      <c r="L154" s="256"/>
      <c r="M154" s="256"/>
      <c r="N154" s="256"/>
      <c r="O154" s="256"/>
      <c r="P154" s="256"/>
      <c r="Q154" s="256"/>
      <c r="R154" s="256"/>
      <c r="S154" s="256"/>
    </row>
    <row r="155" spans="1:23" x14ac:dyDescent="0.3">
      <c r="A155" s="241" t="s">
        <v>454</v>
      </c>
      <c r="C155" s="256">
        <f>SUM(C6:C154)</f>
        <v>43629016162</v>
      </c>
      <c r="D155" s="256">
        <f t="shared" ref="D155:S155" si="9">SUM(D6:D154)</f>
        <v>56548759502</v>
      </c>
      <c r="E155" s="256">
        <f t="shared" si="9"/>
        <v>349854322</v>
      </c>
      <c r="F155" s="256">
        <f t="shared" si="9"/>
        <v>771873012</v>
      </c>
      <c r="G155" s="256">
        <f t="shared" si="9"/>
        <v>30478630098</v>
      </c>
      <c r="H155" s="256">
        <f t="shared" si="9"/>
        <v>2522068731</v>
      </c>
      <c r="I155" s="256">
        <f t="shared" si="9"/>
        <v>4966736</v>
      </c>
      <c r="J155" s="256">
        <f t="shared" si="9"/>
        <v>469277</v>
      </c>
      <c r="K155" s="256">
        <f t="shared" si="9"/>
        <v>0</v>
      </c>
      <c r="L155" s="256">
        <f t="shared" si="9"/>
        <v>0</v>
      </c>
      <c r="M155" s="256">
        <f t="shared" si="9"/>
        <v>174378931</v>
      </c>
      <c r="N155" s="256">
        <f t="shared" si="9"/>
        <v>67406</v>
      </c>
      <c r="O155" s="256">
        <f t="shared" si="9"/>
        <v>151964423</v>
      </c>
      <c r="P155" s="256">
        <f t="shared" si="9"/>
        <v>0</v>
      </c>
      <c r="Q155" s="256">
        <f t="shared" si="9"/>
        <v>0</v>
      </c>
      <c r="R155" s="256">
        <f t="shared" si="9"/>
        <v>123579483</v>
      </c>
      <c r="S155" s="256">
        <f t="shared" si="9"/>
        <v>0</v>
      </c>
      <c r="T155" s="257">
        <f>SUM(T6:T153)</f>
        <v>43634050304</v>
      </c>
      <c r="U155" s="257">
        <f t="shared" ref="U155:W155" si="10">SUM(U6:U153)</f>
        <v>56701193202</v>
      </c>
      <c r="V155" s="257">
        <f t="shared" si="10"/>
        <v>33298657243</v>
      </c>
      <c r="W155" s="257">
        <f t="shared" si="10"/>
        <v>214323478</v>
      </c>
    </row>
    <row r="158" spans="1:23" x14ac:dyDescent="0.3">
      <c r="W158" s="257"/>
    </row>
  </sheetData>
  <sheetProtection algorithmName="SHA-512" hashValue="G5fyZRHGfXpPxzP39RsqXZBvSQQS+Ty4KiHqNAh9FdbKa3464q6eAvNGoAohiYY1KGxudRze/wthqYnVB/pvaw==" saltValue="1B20nUnK4wHccV4Z9Y6nQQ==" spinCount="100000" sheet="1" objects="1" scenario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5B75E3-A76E-4071-A280-E61DFC1F32B6}">
  <sheetPr>
    <pageSetUpPr fitToPage="1"/>
  </sheetPr>
  <dimension ref="A1:T161"/>
  <sheetViews>
    <sheetView showGridLines="0" zoomScaleNormal="100" workbookViewId="0">
      <pane ySplit="5" topLeftCell="A6" activePane="bottomLeft" state="frozen"/>
      <selection pane="bottomLeft" activeCell="O19" sqref="O19"/>
    </sheetView>
  </sheetViews>
  <sheetFormatPr defaultColWidth="9.109375" defaultRowHeight="13.8" x14ac:dyDescent="0.3"/>
  <cols>
    <col min="1" max="1" width="24.88671875" style="84" customWidth="1"/>
    <col min="2" max="2" width="6.5546875" style="84" bestFit="1" customWidth="1"/>
    <col min="3" max="3" width="9.88671875" style="85" bestFit="1" customWidth="1"/>
    <col min="4" max="4" width="14.33203125" style="85" bestFit="1" customWidth="1"/>
    <col min="5" max="5" width="10.33203125" style="85" bestFit="1" customWidth="1"/>
    <col min="6" max="6" width="13.5546875" style="86" customWidth="1"/>
    <col min="7" max="7" width="8" style="86" bestFit="1" customWidth="1"/>
    <col min="8" max="8" width="7" style="85" bestFit="1" customWidth="1"/>
    <col min="9" max="9" width="7.44140625" style="85" bestFit="1" customWidth="1"/>
    <col min="10" max="10" width="6.6640625" style="85" bestFit="1" customWidth="1"/>
    <col min="11" max="11" width="7.44140625" style="85" bestFit="1" customWidth="1"/>
    <col min="12" max="12" width="12.33203125" style="87" bestFit="1" customWidth="1"/>
    <col min="13" max="13" width="12.33203125" style="85" bestFit="1" customWidth="1"/>
    <col min="14" max="14" width="10.88671875" style="85" bestFit="1" customWidth="1"/>
    <col min="15" max="15" width="13.6640625" style="85" bestFit="1" customWidth="1"/>
    <col min="16" max="16" width="13.44140625" style="85" bestFit="1" customWidth="1"/>
    <col min="17" max="17" width="9.5546875" style="87" bestFit="1" customWidth="1"/>
    <col min="18" max="18" width="13.44140625" style="87" bestFit="1" customWidth="1"/>
    <col min="19" max="19" width="13.44140625" style="85" bestFit="1" customWidth="1"/>
    <col min="20" max="20" width="12.33203125" style="85" bestFit="1" customWidth="1"/>
    <col min="21" max="16384" width="9.109375" style="85"/>
  </cols>
  <sheetData>
    <row r="1" spans="1:20" ht="18" x14ac:dyDescent="0.35">
      <c r="A1" s="83" t="s">
        <v>455</v>
      </c>
    </row>
    <row r="2" spans="1:20" x14ac:dyDescent="0.3">
      <c r="A2" s="88" t="s">
        <v>456</v>
      </c>
      <c r="Q2" s="266"/>
    </row>
    <row r="3" spans="1:20" x14ac:dyDescent="0.3">
      <c r="A3" s="88"/>
      <c r="Q3" s="266"/>
    </row>
    <row r="4" spans="1:20" s="94" customFormat="1" x14ac:dyDescent="0.3">
      <c r="A4" s="88" t="s">
        <v>364</v>
      </c>
      <c r="B4" s="89"/>
      <c r="C4" s="89" t="s">
        <v>424</v>
      </c>
      <c r="D4" s="89" t="s">
        <v>424</v>
      </c>
      <c r="E4" s="89"/>
      <c r="F4" s="90" t="s">
        <v>425</v>
      </c>
      <c r="G4" s="90"/>
      <c r="H4" s="91" t="s">
        <v>426</v>
      </c>
      <c r="I4" s="89" t="s">
        <v>427</v>
      </c>
      <c r="J4" s="89" t="s">
        <v>428</v>
      </c>
      <c r="K4" s="89" t="s">
        <v>429</v>
      </c>
      <c r="L4" s="92">
        <v>59659.25</v>
      </c>
      <c r="M4" s="89" t="s">
        <v>430</v>
      </c>
      <c r="N4" s="89" t="s">
        <v>431</v>
      </c>
      <c r="O4" s="89" t="s">
        <v>457</v>
      </c>
      <c r="P4" s="89" t="s">
        <v>432</v>
      </c>
      <c r="Q4" s="93" t="s">
        <v>433</v>
      </c>
      <c r="R4" s="93"/>
    </row>
    <row r="5" spans="1:20" ht="69" x14ac:dyDescent="0.3">
      <c r="A5" s="258" t="s">
        <v>366</v>
      </c>
      <c r="B5" s="259" t="s">
        <v>365</v>
      </c>
      <c r="C5" s="258" t="s">
        <v>458</v>
      </c>
      <c r="D5" s="258" t="s">
        <v>459</v>
      </c>
      <c r="E5" s="258" t="s">
        <v>461</v>
      </c>
      <c r="F5" s="260" t="s">
        <v>460</v>
      </c>
      <c r="G5" s="260" t="s">
        <v>462</v>
      </c>
      <c r="H5" s="258" t="s">
        <v>351</v>
      </c>
      <c r="I5" s="261" t="s">
        <v>367</v>
      </c>
      <c r="J5" s="258" t="s">
        <v>368</v>
      </c>
      <c r="K5" s="258" t="s">
        <v>369</v>
      </c>
      <c r="L5" s="262" t="s">
        <v>370</v>
      </c>
      <c r="M5" s="258" t="s">
        <v>371</v>
      </c>
      <c r="N5" s="258" t="s">
        <v>372</v>
      </c>
      <c r="O5" s="258" t="s">
        <v>434</v>
      </c>
      <c r="P5" s="258" t="s">
        <v>373</v>
      </c>
      <c r="Q5" s="262" t="s">
        <v>374</v>
      </c>
      <c r="R5" s="262" t="s">
        <v>375</v>
      </c>
      <c r="S5" s="95" t="s">
        <v>407</v>
      </c>
      <c r="T5" s="95" t="s">
        <v>463</v>
      </c>
    </row>
    <row r="6" spans="1:20" x14ac:dyDescent="0.3">
      <c r="A6" s="96" t="s">
        <v>262</v>
      </c>
      <c r="B6" s="97">
        <v>1001</v>
      </c>
      <c r="C6" s="98">
        <v>285</v>
      </c>
      <c r="D6" s="98">
        <v>0</v>
      </c>
      <c r="E6" s="98">
        <f>SUM(C6:D6)</f>
        <v>285</v>
      </c>
      <c r="F6" s="99">
        <v>8</v>
      </c>
      <c r="G6" s="99">
        <f>F6/0.25</f>
        <v>32</v>
      </c>
      <c r="H6" s="99">
        <f>(((C6+D6-16))*0.0075)+10.5</f>
        <v>12.5175</v>
      </c>
      <c r="I6" s="99">
        <f>(C6+D6)/H6</f>
        <v>22.768124625524266</v>
      </c>
      <c r="J6" s="99">
        <f t="shared" ref="J6:J69" si="0">F6/H6</f>
        <v>0.63910525264629514</v>
      </c>
      <c r="K6" s="99">
        <f t="shared" ref="K6:K69" si="1">I6+J6</f>
        <v>23.407229878170561</v>
      </c>
      <c r="L6" s="100">
        <f t="shared" ref="L6:L69" si="2">$L$4*1.29</f>
        <v>76960.432499999995</v>
      </c>
      <c r="M6" s="100">
        <f t="shared" ref="M6:M69" si="3">K6*L6</f>
        <v>1801430.5350509286</v>
      </c>
      <c r="N6" s="100">
        <f>M6*0.3878</f>
        <v>698594.76149275003</v>
      </c>
      <c r="O6" s="100">
        <v>0</v>
      </c>
      <c r="P6" s="100">
        <f t="shared" ref="P6:P69" si="4">M6+N6+O6</f>
        <v>2500025.2965436787</v>
      </c>
      <c r="Q6" s="100">
        <v>0</v>
      </c>
      <c r="R6" s="100">
        <f t="shared" ref="R6:R69" si="5">IF(Q6=0,P6,Q6)</f>
        <v>2500025.2965436787</v>
      </c>
      <c r="S6" s="85">
        <v>671863</v>
      </c>
      <c r="T6" s="109">
        <v>149267.49</v>
      </c>
    </row>
    <row r="7" spans="1:20" ht="13.5" customHeight="1" x14ac:dyDescent="0.3">
      <c r="A7" s="101" t="s">
        <v>295</v>
      </c>
      <c r="B7" s="102">
        <v>1003</v>
      </c>
      <c r="C7" s="98">
        <v>117</v>
      </c>
      <c r="D7" s="98">
        <v>0</v>
      </c>
      <c r="E7" s="98">
        <f t="shared" ref="E7:E70" si="6">SUM(C7:D7)</f>
        <v>117</v>
      </c>
      <c r="F7" s="104">
        <v>0</v>
      </c>
      <c r="G7" s="99">
        <f t="shared" ref="G7:G70" si="7">F7/0.25</f>
        <v>0</v>
      </c>
      <c r="H7" s="104">
        <f>IF((C7+D7)&lt;200,12,IF((C7+D7)&gt;600,15,((C7+D7)*0.0075)+10.5))</f>
        <v>12</v>
      </c>
      <c r="I7" s="104">
        <f t="shared" ref="I7:I70" si="8">(C7+D7)/H7</f>
        <v>9.75</v>
      </c>
      <c r="J7" s="104">
        <f t="shared" si="0"/>
        <v>0</v>
      </c>
      <c r="K7" s="104">
        <f t="shared" si="1"/>
        <v>9.75</v>
      </c>
      <c r="L7" s="105">
        <f t="shared" si="2"/>
        <v>76960.432499999995</v>
      </c>
      <c r="M7" s="105">
        <f t="shared" si="3"/>
        <v>750364.21687499993</v>
      </c>
      <c r="N7" s="105">
        <f t="shared" ref="N7:N70" si="9">M7*0.3878</f>
        <v>290991.24330412498</v>
      </c>
      <c r="O7" s="105">
        <v>0</v>
      </c>
      <c r="P7" s="105">
        <f t="shared" si="4"/>
        <v>1041355.460179125</v>
      </c>
      <c r="Q7" s="105">
        <v>0</v>
      </c>
      <c r="R7" s="105">
        <f t="shared" si="5"/>
        <v>1041355.460179125</v>
      </c>
      <c r="S7" s="85">
        <v>448877</v>
      </c>
      <c r="T7" s="109">
        <v>222520.69</v>
      </c>
    </row>
    <row r="8" spans="1:20" ht="13.5" customHeight="1" x14ac:dyDescent="0.3">
      <c r="A8" s="101" t="s">
        <v>226</v>
      </c>
      <c r="B8" s="102">
        <v>2002</v>
      </c>
      <c r="C8" s="98">
        <v>2949.12</v>
      </c>
      <c r="D8" s="98">
        <v>0.1</v>
      </c>
      <c r="E8" s="98">
        <f t="shared" si="6"/>
        <v>2949.22</v>
      </c>
      <c r="F8" s="104">
        <v>197.25</v>
      </c>
      <c r="G8" s="99">
        <f t="shared" si="7"/>
        <v>789</v>
      </c>
      <c r="H8" s="104">
        <f t="shared" ref="H8:H71" si="10">IF((C8+D8)&lt;200,12,IF((C8+D8)&gt;600,15,((C8+D8)*0.0075)+10.5))</f>
        <v>15</v>
      </c>
      <c r="I8" s="104">
        <f t="shared" si="8"/>
        <v>196.61466666666666</v>
      </c>
      <c r="J8" s="104">
        <f t="shared" si="0"/>
        <v>13.15</v>
      </c>
      <c r="K8" s="104">
        <f t="shared" si="1"/>
        <v>209.76466666666667</v>
      </c>
      <c r="L8" s="105">
        <f t="shared" si="2"/>
        <v>76960.432499999995</v>
      </c>
      <c r="M8" s="105">
        <f t="shared" si="3"/>
        <v>16143579.469884999</v>
      </c>
      <c r="N8" s="105">
        <f t="shared" si="9"/>
        <v>6260480.1184214028</v>
      </c>
      <c r="O8" s="105">
        <v>12247</v>
      </c>
      <c r="P8" s="105">
        <f t="shared" si="4"/>
        <v>22416306.588306401</v>
      </c>
      <c r="Q8" s="105">
        <v>0</v>
      </c>
      <c r="R8" s="105">
        <f t="shared" si="5"/>
        <v>22416306.588306401</v>
      </c>
      <c r="S8" s="85">
        <v>4950766</v>
      </c>
      <c r="T8" s="109">
        <v>728317.22000000009</v>
      </c>
    </row>
    <row r="9" spans="1:20" ht="13.5" customHeight="1" x14ac:dyDescent="0.3">
      <c r="A9" s="101" t="s">
        <v>229</v>
      </c>
      <c r="B9" s="102">
        <v>2003</v>
      </c>
      <c r="C9" s="98">
        <v>213.06</v>
      </c>
      <c r="D9" s="98">
        <v>0</v>
      </c>
      <c r="E9" s="98">
        <f t="shared" si="6"/>
        <v>213.06</v>
      </c>
      <c r="F9" s="104">
        <v>2.5</v>
      </c>
      <c r="G9" s="99">
        <f t="shared" si="7"/>
        <v>10</v>
      </c>
      <c r="H9" s="104">
        <f t="shared" si="10"/>
        <v>12.097950000000001</v>
      </c>
      <c r="I9" s="104">
        <f t="shared" si="8"/>
        <v>17.611248186676253</v>
      </c>
      <c r="J9" s="104">
        <f t="shared" si="0"/>
        <v>0.20664658061903049</v>
      </c>
      <c r="K9" s="104">
        <f t="shared" si="1"/>
        <v>17.817894767295282</v>
      </c>
      <c r="L9" s="105">
        <f t="shared" si="2"/>
        <v>76960.432499999995</v>
      </c>
      <c r="M9" s="105">
        <f t="shared" si="3"/>
        <v>1371272.8875305317</v>
      </c>
      <c r="N9" s="105">
        <f t="shared" si="9"/>
        <v>531779.6257843402</v>
      </c>
      <c r="O9" s="105">
        <v>0</v>
      </c>
      <c r="P9" s="105">
        <f t="shared" si="4"/>
        <v>1903052.513314872</v>
      </c>
      <c r="Q9" s="105">
        <v>0</v>
      </c>
      <c r="R9" s="105">
        <f t="shared" si="5"/>
        <v>1903052.513314872</v>
      </c>
      <c r="S9" s="85">
        <v>1155578</v>
      </c>
      <c r="T9" s="109">
        <v>86700.98</v>
      </c>
    </row>
    <row r="10" spans="1:20" ht="13.5" customHeight="1" x14ac:dyDescent="0.3">
      <c r="A10" s="101" t="s">
        <v>300</v>
      </c>
      <c r="B10" s="102">
        <v>2006</v>
      </c>
      <c r="C10" s="98">
        <v>303</v>
      </c>
      <c r="D10" s="98">
        <v>0</v>
      </c>
      <c r="E10" s="98">
        <f t="shared" si="6"/>
        <v>303</v>
      </c>
      <c r="F10" s="104">
        <v>0.5</v>
      </c>
      <c r="G10" s="99">
        <f t="shared" si="7"/>
        <v>2</v>
      </c>
      <c r="H10" s="104">
        <f t="shared" si="10"/>
        <v>12.772500000000001</v>
      </c>
      <c r="I10" s="104">
        <f t="shared" si="8"/>
        <v>23.722842043452729</v>
      </c>
      <c r="J10" s="104">
        <f t="shared" si="0"/>
        <v>3.9146604032100213E-2</v>
      </c>
      <c r="K10" s="104">
        <f t="shared" si="1"/>
        <v>23.761988647484831</v>
      </c>
      <c r="L10" s="105">
        <f t="shared" si="2"/>
        <v>76960.432499999995</v>
      </c>
      <c r="M10" s="105">
        <f t="shared" si="3"/>
        <v>1828732.9233705224</v>
      </c>
      <c r="N10" s="105">
        <f t="shared" si="9"/>
        <v>709182.62768308853</v>
      </c>
      <c r="O10" s="105">
        <v>0</v>
      </c>
      <c r="P10" s="105">
        <f t="shared" si="4"/>
        <v>2537915.5510536111</v>
      </c>
      <c r="Q10" s="105">
        <v>0</v>
      </c>
      <c r="R10" s="105">
        <f t="shared" si="5"/>
        <v>2537915.5510536111</v>
      </c>
      <c r="S10" s="85">
        <v>970169</v>
      </c>
      <c r="T10" s="109">
        <v>128362.1</v>
      </c>
    </row>
    <row r="11" spans="1:20" ht="13.5" customHeight="1" x14ac:dyDescent="0.3">
      <c r="A11" s="101" t="s">
        <v>163</v>
      </c>
      <c r="B11" s="102">
        <v>3001</v>
      </c>
      <c r="C11" s="98">
        <v>460.14</v>
      </c>
      <c r="D11" s="98">
        <v>0.2</v>
      </c>
      <c r="E11" s="98">
        <f t="shared" si="6"/>
        <v>460.34</v>
      </c>
      <c r="F11" s="104">
        <v>0</v>
      </c>
      <c r="G11" s="99">
        <f t="shared" si="7"/>
        <v>0</v>
      </c>
      <c r="H11" s="104">
        <f t="shared" si="10"/>
        <v>13.952549999999999</v>
      </c>
      <c r="I11" s="104">
        <f t="shared" si="8"/>
        <v>32.993252129539044</v>
      </c>
      <c r="J11" s="104">
        <f t="shared" si="0"/>
        <v>0</v>
      </c>
      <c r="K11" s="104">
        <f t="shared" si="1"/>
        <v>32.993252129539044</v>
      </c>
      <c r="L11" s="105">
        <f t="shared" si="2"/>
        <v>76960.432499999995</v>
      </c>
      <c r="M11" s="105">
        <f t="shared" si="3"/>
        <v>2539174.9534708709</v>
      </c>
      <c r="N11" s="105">
        <f t="shared" si="9"/>
        <v>984692.04695600364</v>
      </c>
      <c r="O11" s="105">
        <v>0</v>
      </c>
      <c r="P11" s="105">
        <f t="shared" si="4"/>
        <v>3523867.0004268745</v>
      </c>
      <c r="Q11" s="105">
        <v>0</v>
      </c>
      <c r="R11" s="105">
        <f t="shared" si="5"/>
        <v>3523867.0004268745</v>
      </c>
      <c r="S11" s="85">
        <v>556330</v>
      </c>
      <c r="T11" s="109">
        <v>231334.33</v>
      </c>
    </row>
    <row r="12" spans="1:20" ht="13.5" customHeight="1" x14ac:dyDescent="0.3">
      <c r="A12" s="101" t="s">
        <v>160</v>
      </c>
      <c r="B12" s="102">
        <v>4001</v>
      </c>
      <c r="C12" s="98">
        <v>213</v>
      </c>
      <c r="D12" s="98">
        <v>0</v>
      </c>
      <c r="E12" s="98">
        <f t="shared" si="6"/>
        <v>213</v>
      </c>
      <c r="F12" s="104">
        <v>0</v>
      </c>
      <c r="G12" s="99">
        <f t="shared" si="7"/>
        <v>0</v>
      </c>
      <c r="H12" s="104">
        <f t="shared" si="10"/>
        <v>12.0975</v>
      </c>
      <c r="I12" s="104">
        <f t="shared" si="8"/>
        <v>17.606943583384997</v>
      </c>
      <c r="J12" s="104">
        <f t="shared" si="0"/>
        <v>0</v>
      </c>
      <c r="K12" s="104">
        <f t="shared" si="1"/>
        <v>17.606943583384997</v>
      </c>
      <c r="L12" s="105">
        <f t="shared" si="2"/>
        <v>76960.432499999995</v>
      </c>
      <c r="M12" s="105">
        <f t="shared" si="3"/>
        <v>1355037.9931804091</v>
      </c>
      <c r="N12" s="105">
        <f t="shared" si="9"/>
        <v>525483.73375536257</v>
      </c>
      <c r="O12" s="105">
        <v>0</v>
      </c>
      <c r="P12" s="105">
        <f t="shared" si="4"/>
        <v>1880521.7269357718</v>
      </c>
      <c r="Q12" s="105">
        <v>0</v>
      </c>
      <c r="R12" s="105">
        <f t="shared" si="5"/>
        <v>1880521.7269357718</v>
      </c>
      <c r="S12" s="85">
        <v>468312</v>
      </c>
      <c r="T12" s="109">
        <v>74516.429999999993</v>
      </c>
    </row>
    <row r="13" spans="1:20" ht="13.5" customHeight="1" x14ac:dyDescent="0.3">
      <c r="A13" s="101" t="s">
        <v>167</v>
      </c>
      <c r="B13" s="102">
        <v>4002</v>
      </c>
      <c r="C13" s="98">
        <v>548</v>
      </c>
      <c r="D13" s="98">
        <v>0</v>
      </c>
      <c r="E13" s="98">
        <f t="shared" si="6"/>
        <v>548</v>
      </c>
      <c r="F13" s="104">
        <v>6.25</v>
      </c>
      <c r="G13" s="99">
        <f t="shared" si="7"/>
        <v>25</v>
      </c>
      <c r="H13" s="104">
        <f t="shared" si="10"/>
        <v>14.61</v>
      </c>
      <c r="I13" s="104">
        <f t="shared" si="8"/>
        <v>37.508555783709788</v>
      </c>
      <c r="J13" s="104">
        <f t="shared" si="0"/>
        <v>0.42778918548939082</v>
      </c>
      <c r="K13" s="104">
        <f t="shared" si="1"/>
        <v>37.936344969199176</v>
      </c>
      <c r="L13" s="105">
        <f t="shared" si="2"/>
        <v>76960.432499999995</v>
      </c>
      <c r="M13" s="105">
        <f t="shared" si="3"/>
        <v>2919597.5162987676</v>
      </c>
      <c r="N13" s="105">
        <f t="shared" si="9"/>
        <v>1132219.9168206621</v>
      </c>
      <c r="O13" s="105">
        <v>0</v>
      </c>
      <c r="P13" s="105">
        <f t="shared" si="4"/>
        <v>4051817.4331194297</v>
      </c>
      <c r="Q13" s="105">
        <v>0</v>
      </c>
      <c r="R13" s="105">
        <f t="shared" si="5"/>
        <v>4051817.4331194297</v>
      </c>
      <c r="S13" s="85">
        <v>1231666</v>
      </c>
      <c r="T13" s="109">
        <v>214913.89</v>
      </c>
    </row>
    <row r="14" spans="1:20" ht="13.5" customHeight="1" x14ac:dyDescent="0.3">
      <c r="A14" s="101" t="s">
        <v>269</v>
      </c>
      <c r="B14" s="102">
        <v>4003</v>
      </c>
      <c r="C14" s="98">
        <v>254.42</v>
      </c>
      <c r="D14" s="98">
        <v>0</v>
      </c>
      <c r="E14" s="98">
        <f t="shared" si="6"/>
        <v>254.42</v>
      </c>
      <c r="F14" s="104">
        <v>0.25</v>
      </c>
      <c r="G14" s="99">
        <f t="shared" si="7"/>
        <v>1</v>
      </c>
      <c r="H14" s="104">
        <f t="shared" si="10"/>
        <v>12.408149999999999</v>
      </c>
      <c r="I14" s="104">
        <f t="shared" si="8"/>
        <v>20.504265341731042</v>
      </c>
      <c r="J14" s="104">
        <f t="shared" si="0"/>
        <v>2.0148047855643267E-2</v>
      </c>
      <c r="K14" s="104">
        <f t="shared" si="1"/>
        <v>20.524413389586684</v>
      </c>
      <c r="L14" s="105">
        <f t="shared" si="2"/>
        <v>76960.432499999995</v>
      </c>
      <c r="M14" s="105">
        <f t="shared" si="3"/>
        <v>1579567.7312713822</v>
      </c>
      <c r="N14" s="105">
        <f t="shared" si="9"/>
        <v>612556.36618704197</v>
      </c>
      <c r="O14" s="105">
        <v>0</v>
      </c>
      <c r="P14" s="105">
        <f t="shared" si="4"/>
        <v>2192124.097458424</v>
      </c>
      <c r="Q14" s="105">
        <v>0</v>
      </c>
      <c r="R14" s="105">
        <f t="shared" si="5"/>
        <v>2192124.097458424</v>
      </c>
      <c r="S14" s="85">
        <v>805330</v>
      </c>
      <c r="T14" s="109">
        <v>119392.81</v>
      </c>
    </row>
    <row r="15" spans="1:20" ht="13.5" customHeight="1" x14ac:dyDescent="0.3">
      <c r="A15" s="101" t="s">
        <v>172</v>
      </c>
      <c r="B15" s="102">
        <v>5001</v>
      </c>
      <c r="C15" s="98">
        <v>3455.9</v>
      </c>
      <c r="D15" s="98">
        <v>0.5</v>
      </c>
      <c r="E15" s="98">
        <f t="shared" si="6"/>
        <v>3456.4</v>
      </c>
      <c r="F15" s="104">
        <v>29.5</v>
      </c>
      <c r="G15" s="99">
        <f t="shared" si="7"/>
        <v>118</v>
      </c>
      <c r="H15" s="104">
        <f t="shared" si="10"/>
        <v>15</v>
      </c>
      <c r="I15" s="104">
        <f t="shared" si="8"/>
        <v>230.42666666666668</v>
      </c>
      <c r="J15" s="104">
        <f t="shared" si="0"/>
        <v>1.9666666666666666</v>
      </c>
      <c r="K15" s="104">
        <f t="shared" si="1"/>
        <v>232.39333333333335</v>
      </c>
      <c r="L15" s="105">
        <f t="shared" si="2"/>
        <v>76960.432499999995</v>
      </c>
      <c r="M15" s="105">
        <f t="shared" si="3"/>
        <v>17885091.44345</v>
      </c>
      <c r="N15" s="105">
        <f t="shared" si="9"/>
        <v>6935838.4617699096</v>
      </c>
      <c r="O15" s="105">
        <v>0</v>
      </c>
      <c r="P15" s="105">
        <f t="shared" si="4"/>
        <v>24820929.905219909</v>
      </c>
      <c r="Q15" s="105">
        <v>0</v>
      </c>
      <c r="R15" s="105">
        <f t="shared" si="5"/>
        <v>24820929.905219909</v>
      </c>
      <c r="S15" s="85">
        <v>9048260</v>
      </c>
      <c r="T15" s="109">
        <v>1213275.83</v>
      </c>
    </row>
    <row r="16" spans="1:20" ht="13.5" customHeight="1" x14ac:dyDescent="0.3">
      <c r="A16" s="101" t="s">
        <v>198</v>
      </c>
      <c r="B16" s="102">
        <v>5003</v>
      </c>
      <c r="C16" s="98">
        <v>363.15</v>
      </c>
      <c r="D16" s="98">
        <v>0.30000000000000004</v>
      </c>
      <c r="E16" s="98">
        <f t="shared" si="6"/>
        <v>363.45</v>
      </c>
      <c r="F16" s="104">
        <v>13.75</v>
      </c>
      <c r="G16" s="99">
        <f t="shared" si="7"/>
        <v>55</v>
      </c>
      <c r="H16" s="104">
        <f t="shared" si="10"/>
        <v>13.225875</v>
      </c>
      <c r="I16" s="104">
        <f t="shared" si="8"/>
        <v>27.480223425671269</v>
      </c>
      <c r="J16" s="104">
        <f t="shared" si="0"/>
        <v>1.039628758021681</v>
      </c>
      <c r="K16" s="104">
        <f t="shared" si="1"/>
        <v>28.519852183692951</v>
      </c>
      <c r="L16" s="105">
        <f t="shared" si="2"/>
        <v>76960.432499999995</v>
      </c>
      <c r="M16" s="105">
        <f t="shared" si="3"/>
        <v>2194900.158893079</v>
      </c>
      <c r="N16" s="105">
        <f t="shared" si="9"/>
        <v>851182.28161873599</v>
      </c>
      <c r="O16" s="105">
        <v>0</v>
      </c>
      <c r="P16" s="105">
        <f t="shared" si="4"/>
        <v>3046082.4405118152</v>
      </c>
      <c r="Q16" s="105">
        <v>0</v>
      </c>
      <c r="R16" s="105">
        <f t="shared" si="5"/>
        <v>3046082.4405118152</v>
      </c>
      <c r="S16" s="85">
        <v>1629370</v>
      </c>
      <c r="T16" s="109">
        <v>331725.49</v>
      </c>
    </row>
    <row r="17" spans="1:20" ht="13.5" customHeight="1" x14ac:dyDescent="0.3">
      <c r="A17" s="101" t="s">
        <v>272</v>
      </c>
      <c r="B17" s="102">
        <v>5005</v>
      </c>
      <c r="C17" s="98">
        <v>724.6</v>
      </c>
      <c r="D17" s="98">
        <v>0.1</v>
      </c>
      <c r="E17" s="98">
        <f t="shared" si="6"/>
        <v>724.7</v>
      </c>
      <c r="F17" s="104">
        <v>2</v>
      </c>
      <c r="G17" s="99">
        <f t="shared" si="7"/>
        <v>8</v>
      </c>
      <c r="H17" s="104">
        <f t="shared" si="10"/>
        <v>15</v>
      </c>
      <c r="I17" s="104">
        <f t="shared" si="8"/>
        <v>48.31333333333334</v>
      </c>
      <c r="J17" s="104">
        <f t="shared" si="0"/>
        <v>0.13333333333333333</v>
      </c>
      <c r="K17" s="104">
        <f t="shared" si="1"/>
        <v>48.446666666666673</v>
      </c>
      <c r="L17" s="105">
        <f t="shared" si="2"/>
        <v>76960.432499999995</v>
      </c>
      <c r="M17" s="105">
        <f t="shared" si="3"/>
        <v>3728476.4198500002</v>
      </c>
      <c r="N17" s="105">
        <f t="shared" si="9"/>
        <v>1445903.1556178299</v>
      </c>
      <c r="O17" s="105">
        <v>0</v>
      </c>
      <c r="P17" s="105">
        <f t="shared" si="4"/>
        <v>5174379.5754678305</v>
      </c>
      <c r="Q17" s="105">
        <v>0</v>
      </c>
      <c r="R17" s="105">
        <f t="shared" si="5"/>
        <v>5174379.5754678305</v>
      </c>
      <c r="S17" s="85">
        <v>1406452</v>
      </c>
      <c r="T17" s="109">
        <v>221592.22999999998</v>
      </c>
    </row>
    <row r="18" spans="1:20" ht="13.5" customHeight="1" x14ac:dyDescent="0.3">
      <c r="A18" s="101" t="s">
        <v>308</v>
      </c>
      <c r="B18" s="102">
        <v>5006</v>
      </c>
      <c r="C18" s="98">
        <v>400</v>
      </c>
      <c r="D18" s="98">
        <v>0</v>
      </c>
      <c r="E18" s="98">
        <f t="shared" si="6"/>
        <v>400</v>
      </c>
      <c r="F18" s="104">
        <v>7.5</v>
      </c>
      <c r="G18" s="99">
        <f t="shared" si="7"/>
        <v>30</v>
      </c>
      <c r="H18" s="104">
        <f t="shared" si="10"/>
        <v>13.5</v>
      </c>
      <c r="I18" s="104">
        <f t="shared" si="8"/>
        <v>29.62962962962963</v>
      </c>
      <c r="J18" s="104">
        <f t="shared" si="0"/>
        <v>0.55555555555555558</v>
      </c>
      <c r="K18" s="104">
        <f t="shared" si="1"/>
        <v>30.185185185185187</v>
      </c>
      <c r="L18" s="105">
        <f t="shared" si="2"/>
        <v>76960.432499999995</v>
      </c>
      <c r="M18" s="105">
        <f t="shared" si="3"/>
        <v>2323064.9069444444</v>
      </c>
      <c r="N18" s="105">
        <f t="shared" si="9"/>
        <v>900884.57091305545</v>
      </c>
      <c r="O18" s="105">
        <v>0</v>
      </c>
      <c r="P18" s="105">
        <f t="shared" si="4"/>
        <v>3223949.4778574998</v>
      </c>
      <c r="Q18" s="105">
        <v>0</v>
      </c>
      <c r="R18" s="105">
        <f t="shared" si="5"/>
        <v>3223949.4778574998</v>
      </c>
      <c r="S18" s="85">
        <v>1234359</v>
      </c>
      <c r="T18" s="109">
        <v>615785.00000000012</v>
      </c>
    </row>
    <row r="19" spans="1:20" ht="13.5" customHeight="1" x14ac:dyDescent="0.3">
      <c r="A19" s="101" t="s">
        <v>154</v>
      </c>
      <c r="B19" s="102">
        <v>6001</v>
      </c>
      <c r="C19" s="98">
        <v>4292.53</v>
      </c>
      <c r="D19" s="98">
        <v>0</v>
      </c>
      <c r="E19" s="98">
        <f t="shared" si="6"/>
        <v>4292.53</v>
      </c>
      <c r="F19" s="104">
        <v>44.25</v>
      </c>
      <c r="G19" s="99">
        <f t="shared" si="7"/>
        <v>177</v>
      </c>
      <c r="H19" s="104">
        <f t="shared" si="10"/>
        <v>15</v>
      </c>
      <c r="I19" s="104">
        <f t="shared" si="8"/>
        <v>286.16866666666664</v>
      </c>
      <c r="J19" s="104">
        <f t="shared" si="0"/>
        <v>2.95</v>
      </c>
      <c r="K19" s="104">
        <f t="shared" si="1"/>
        <v>289.11866666666663</v>
      </c>
      <c r="L19" s="105">
        <f t="shared" si="2"/>
        <v>76960.432499999995</v>
      </c>
      <c r="M19" s="105">
        <f t="shared" si="3"/>
        <v>22250697.630489994</v>
      </c>
      <c r="N19" s="105">
        <f t="shared" si="9"/>
        <v>8628820.5411040187</v>
      </c>
      <c r="O19" s="105">
        <v>6650</v>
      </c>
      <c r="P19" s="105">
        <f t="shared" si="4"/>
        <v>30886168.171594013</v>
      </c>
      <c r="Q19" s="105">
        <v>0</v>
      </c>
      <c r="R19" s="105">
        <f t="shared" si="5"/>
        <v>30886168.171594013</v>
      </c>
      <c r="S19" s="85">
        <v>11322805</v>
      </c>
      <c r="T19" s="109">
        <v>1577782.48</v>
      </c>
    </row>
    <row r="20" spans="1:20" ht="13.5" customHeight="1" x14ac:dyDescent="0.3">
      <c r="A20" s="101" t="s">
        <v>206</v>
      </c>
      <c r="B20" s="102">
        <v>6002</v>
      </c>
      <c r="C20" s="98">
        <v>177.27</v>
      </c>
      <c r="D20" s="98">
        <v>0</v>
      </c>
      <c r="E20" s="98">
        <f t="shared" si="6"/>
        <v>177.27</v>
      </c>
      <c r="F20" s="104">
        <v>0</v>
      </c>
      <c r="G20" s="99">
        <f t="shared" si="7"/>
        <v>0</v>
      </c>
      <c r="H20" s="104">
        <f t="shared" si="10"/>
        <v>12</v>
      </c>
      <c r="I20" s="104">
        <f t="shared" si="8"/>
        <v>14.772500000000001</v>
      </c>
      <c r="J20" s="104">
        <f t="shared" si="0"/>
        <v>0</v>
      </c>
      <c r="K20" s="104">
        <f t="shared" si="1"/>
        <v>14.772500000000001</v>
      </c>
      <c r="L20" s="105">
        <f t="shared" si="2"/>
        <v>76960.432499999995</v>
      </c>
      <c r="M20" s="105">
        <f t="shared" si="3"/>
        <v>1136897.98910625</v>
      </c>
      <c r="N20" s="105">
        <f t="shared" si="9"/>
        <v>440889.0401754037</v>
      </c>
      <c r="O20" s="105">
        <v>0</v>
      </c>
      <c r="P20" s="105">
        <f t="shared" si="4"/>
        <v>1577787.0292816537</v>
      </c>
      <c r="Q20" s="105">
        <v>0</v>
      </c>
      <c r="R20" s="105">
        <f t="shared" si="5"/>
        <v>1577787.0292816537</v>
      </c>
      <c r="S20" s="85">
        <v>663193</v>
      </c>
      <c r="T20" s="109">
        <v>109460.76000000001</v>
      </c>
    </row>
    <row r="21" spans="1:20" ht="13.5" customHeight="1" x14ac:dyDescent="0.3">
      <c r="A21" s="101" t="s">
        <v>288</v>
      </c>
      <c r="B21" s="102">
        <v>6005</v>
      </c>
      <c r="C21" s="98">
        <v>312</v>
      </c>
      <c r="D21" s="98">
        <v>0</v>
      </c>
      <c r="E21" s="98">
        <f t="shared" si="6"/>
        <v>312</v>
      </c>
      <c r="F21" s="104">
        <v>0.5</v>
      </c>
      <c r="G21" s="99">
        <f t="shared" si="7"/>
        <v>2</v>
      </c>
      <c r="H21" s="104">
        <f t="shared" si="10"/>
        <v>12.84</v>
      </c>
      <c r="I21" s="104">
        <f t="shared" si="8"/>
        <v>24.299065420560748</v>
      </c>
      <c r="J21" s="104">
        <f t="shared" si="0"/>
        <v>3.8940809968847349E-2</v>
      </c>
      <c r="K21" s="104">
        <f t="shared" si="1"/>
        <v>24.338006230529594</v>
      </c>
      <c r="L21" s="105">
        <f t="shared" si="2"/>
        <v>76960.432499999995</v>
      </c>
      <c r="M21" s="105">
        <f t="shared" si="3"/>
        <v>1873063.4856892521</v>
      </c>
      <c r="N21" s="105">
        <f t="shared" si="9"/>
        <v>726374.01975029195</v>
      </c>
      <c r="O21" s="105">
        <v>0</v>
      </c>
      <c r="P21" s="105">
        <f t="shared" si="4"/>
        <v>2599437.5054395441</v>
      </c>
      <c r="Q21" s="105">
        <v>0</v>
      </c>
      <c r="R21" s="105">
        <f t="shared" si="5"/>
        <v>2599437.5054395441</v>
      </c>
      <c r="S21" s="85">
        <v>567431</v>
      </c>
      <c r="T21" s="109">
        <v>91083.739999999991</v>
      </c>
    </row>
    <row r="22" spans="1:20" ht="13.5" customHeight="1" x14ac:dyDescent="0.3">
      <c r="A22" s="101" t="s">
        <v>212</v>
      </c>
      <c r="B22" s="102">
        <v>6006</v>
      </c>
      <c r="C22" s="98">
        <v>596.47</v>
      </c>
      <c r="D22" s="98">
        <v>0.1</v>
      </c>
      <c r="E22" s="98">
        <f t="shared" si="6"/>
        <v>596.57000000000005</v>
      </c>
      <c r="F22" s="104">
        <v>4</v>
      </c>
      <c r="G22" s="99">
        <f t="shared" si="7"/>
        <v>16</v>
      </c>
      <c r="H22" s="104">
        <f t="shared" si="10"/>
        <v>14.974275</v>
      </c>
      <c r="I22" s="104">
        <f t="shared" si="8"/>
        <v>39.839658347399123</v>
      </c>
      <c r="J22" s="104">
        <f t="shared" si="0"/>
        <v>0.26712478567409775</v>
      </c>
      <c r="K22" s="104">
        <f t="shared" si="1"/>
        <v>40.106783133073222</v>
      </c>
      <c r="L22" s="105">
        <f t="shared" si="2"/>
        <v>76960.432499999995</v>
      </c>
      <c r="M22" s="105">
        <f t="shared" si="3"/>
        <v>3086635.3761050198</v>
      </c>
      <c r="N22" s="105">
        <f t="shared" si="9"/>
        <v>1196997.1988535267</v>
      </c>
      <c r="O22" s="105">
        <v>0</v>
      </c>
      <c r="P22" s="105">
        <f t="shared" si="4"/>
        <v>4283632.5749585461</v>
      </c>
      <c r="Q22" s="105">
        <v>0</v>
      </c>
      <c r="R22" s="105">
        <f t="shared" si="5"/>
        <v>4283632.5749585461</v>
      </c>
      <c r="S22" s="85">
        <v>2916401</v>
      </c>
      <c r="T22" s="109">
        <v>1066081.3999999999</v>
      </c>
    </row>
    <row r="23" spans="1:20" ht="13.5" customHeight="1" x14ac:dyDescent="0.3">
      <c r="A23" s="101" t="s">
        <v>178</v>
      </c>
      <c r="B23" s="102">
        <v>7001</v>
      </c>
      <c r="C23" s="98">
        <v>846.66</v>
      </c>
      <c r="D23" s="98">
        <v>0</v>
      </c>
      <c r="E23" s="98">
        <f t="shared" si="6"/>
        <v>846.66</v>
      </c>
      <c r="F23" s="104">
        <v>0.25</v>
      </c>
      <c r="G23" s="99">
        <f t="shared" si="7"/>
        <v>1</v>
      </c>
      <c r="H23" s="104">
        <f t="shared" si="10"/>
        <v>15</v>
      </c>
      <c r="I23" s="104">
        <f t="shared" si="8"/>
        <v>56.443999999999996</v>
      </c>
      <c r="J23" s="104">
        <f t="shared" si="0"/>
        <v>1.6666666666666666E-2</v>
      </c>
      <c r="K23" s="104">
        <f t="shared" si="1"/>
        <v>56.460666666666661</v>
      </c>
      <c r="L23" s="105">
        <f t="shared" si="2"/>
        <v>76960.432499999995</v>
      </c>
      <c r="M23" s="105">
        <f t="shared" si="3"/>
        <v>4345237.3259049989</v>
      </c>
      <c r="N23" s="105">
        <f t="shared" si="9"/>
        <v>1685083.0349859586</v>
      </c>
      <c r="O23" s="105">
        <v>0</v>
      </c>
      <c r="P23" s="105">
        <f t="shared" si="4"/>
        <v>6030320.3608909575</v>
      </c>
      <c r="Q23" s="105">
        <v>0</v>
      </c>
      <c r="R23" s="105">
        <f t="shared" si="5"/>
        <v>6030320.3608909575</v>
      </c>
      <c r="S23" s="85">
        <v>1941771</v>
      </c>
      <c r="T23" s="109">
        <v>434319.88</v>
      </c>
    </row>
    <row r="24" spans="1:20" ht="13.5" customHeight="1" x14ac:dyDescent="0.3">
      <c r="A24" s="101" t="s">
        <v>232</v>
      </c>
      <c r="B24" s="102">
        <v>7002</v>
      </c>
      <c r="C24" s="98">
        <v>350.12</v>
      </c>
      <c r="D24" s="98">
        <v>0</v>
      </c>
      <c r="E24" s="98">
        <f t="shared" si="6"/>
        <v>350.12</v>
      </c>
      <c r="F24" s="104">
        <v>2.75</v>
      </c>
      <c r="G24" s="99">
        <f t="shared" si="7"/>
        <v>11</v>
      </c>
      <c r="H24" s="104">
        <f t="shared" si="10"/>
        <v>13.1259</v>
      </c>
      <c r="I24" s="104">
        <f t="shared" si="8"/>
        <v>26.673980450864324</v>
      </c>
      <c r="J24" s="104">
        <f t="shared" si="0"/>
        <v>0.20950944316199271</v>
      </c>
      <c r="K24" s="104">
        <f t="shared" si="1"/>
        <v>26.883489894026315</v>
      </c>
      <c r="L24" s="105">
        <f t="shared" si="2"/>
        <v>76960.432499999995</v>
      </c>
      <c r="M24" s="105">
        <f t="shared" si="3"/>
        <v>2068965.0093536442</v>
      </c>
      <c r="N24" s="105">
        <f t="shared" si="9"/>
        <v>802344.6306273432</v>
      </c>
      <c r="O24" s="105">
        <v>0</v>
      </c>
      <c r="P24" s="105">
        <f t="shared" si="4"/>
        <v>2871309.6399809876</v>
      </c>
      <c r="Q24" s="105">
        <v>0</v>
      </c>
      <c r="R24" s="105">
        <f t="shared" si="5"/>
        <v>2871309.6399809876</v>
      </c>
      <c r="S24" s="85">
        <v>962568</v>
      </c>
      <c r="T24" s="109">
        <v>211170.97000000003</v>
      </c>
    </row>
    <row r="25" spans="1:20" ht="13.5" customHeight="1" x14ac:dyDescent="0.3">
      <c r="A25" s="101" t="s">
        <v>162</v>
      </c>
      <c r="B25" s="102">
        <v>9001</v>
      </c>
      <c r="C25" s="98">
        <v>1302.68</v>
      </c>
      <c r="D25" s="98">
        <v>0.1</v>
      </c>
      <c r="E25" s="98">
        <f t="shared" si="6"/>
        <v>1302.78</v>
      </c>
      <c r="F25" s="104">
        <v>0.75</v>
      </c>
      <c r="G25" s="99">
        <f t="shared" si="7"/>
        <v>3</v>
      </c>
      <c r="H25" s="104">
        <f t="shared" si="10"/>
        <v>15</v>
      </c>
      <c r="I25" s="104">
        <f t="shared" si="8"/>
        <v>86.852000000000004</v>
      </c>
      <c r="J25" s="104">
        <f t="shared" si="0"/>
        <v>0.05</v>
      </c>
      <c r="K25" s="104">
        <f t="shared" si="1"/>
        <v>86.902000000000001</v>
      </c>
      <c r="L25" s="105">
        <f t="shared" si="2"/>
        <v>76960.432499999995</v>
      </c>
      <c r="M25" s="105">
        <f t="shared" si="3"/>
        <v>6688015.5051149996</v>
      </c>
      <c r="N25" s="105">
        <f t="shared" si="9"/>
        <v>2593612.4128835965</v>
      </c>
      <c r="O25" s="105">
        <v>0</v>
      </c>
      <c r="P25" s="105">
        <f t="shared" si="4"/>
        <v>9281627.917998597</v>
      </c>
      <c r="Q25" s="105">
        <v>0</v>
      </c>
      <c r="R25" s="105">
        <f t="shared" si="5"/>
        <v>9281627.917998597</v>
      </c>
      <c r="S25" s="85">
        <v>3127652</v>
      </c>
      <c r="T25" s="109">
        <v>270856.90000000002</v>
      </c>
    </row>
    <row r="26" spans="1:20" ht="13.5" customHeight="1" x14ac:dyDescent="0.3">
      <c r="A26" s="101" t="s">
        <v>254</v>
      </c>
      <c r="B26" s="102">
        <v>9002</v>
      </c>
      <c r="C26" s="98">
        <v>223.91</v>
      </c>
      <c r="D26" s="98">
        <v>0.60000000000000009</v>
      </c>
      <c r="E26" s="98">
        <f t="shared" si="6"/>
        <v>224.51</v>
      </c>
      <c r="F26" s="104">
        <v>0</v>
      </c>
      <c r="G26" s="99">
        <f t="shared" si="7"/>
        <v>0</v>
      </c>
      <c r="H26" s="104">
        <f t="shared" si="10"/>
        <v>12.183825000000001</v>
      </c>
      <c r="I26" s="104">
        <f t="shared" si="8"/>
        <v>18.42688974931928</v>
      </c>
      <c r="J26" s="104">
        <f t="shared" si="0"/>
        <v>0</v>
      </c>
      <c r="K26" s="104">
        <f t="shared" si="1"/>
        <v>18.42688974931928</v>
      </c>
      <c r="L26" s="105">
        <f t="shared" si="2"/>
        <v>76960.432499999995</v>
      </c>
      <c r="M26" s="105">
        <f t="shared" si="3"/>
        <v>1418141.4047374283</v>
      </c>
      <c r="N26" s="105">
        <f t="shared" si="9"/>
        <v>549955.23675717472</v>
      </c>
      <c r="O26" s="105">
        <v>0</v>
      </c>
      <c r="P26" s="105">
        <f t="shared" si="4"/>
        <v>1968096.6414946029</v>
      </c>
      <c r="Q26" s="105">
        <v>0</v>
      </c>
      <c r="R26" s="105">
        <f t="shared" si="5"/>
        <v>1968096.6414946029</v>
      </c>
      <c r="S26" s="85">
        <v>878818</v>
      </c>
      <c r="T26" s="109">
        <v>173567.93</v>
      </c>
    </row>
    <row r="27" spans="1:20" ht="13.5" customHeight="1" x14ac:dyDescent="0.3">
      <c r="A27" s="101" t="s">
        <v>219</v>
      </c>
      <c r="B27" s="102">
        <v>10001</v>
      </c>
      <c r="C27" s="98">
        <v>138</v>
      </c>
      <c r="D27" s="98">
        <v>0</v>
      </c>
      <c r="E27" s="98">
        <f t="shared" si="6"/>
        <v>138</v>
      </c>
      <c r="F27" s="104">
        <v>0</v>
      </c>
      <c r="G27" s="99">
        <f t="shared" si="7"/>
        <v>0</v>
      </c>
      <c r="H27" s="104">
        <f t="shared" si="10"/>
        <v>12</v>
      </c>
      <c r="I27" s="104">
        <f t="shared" si="8"/>
        <v>11.5</v>
      </c>
      <c r="J27" s="104">
        <f t="shared" si="0"/>
        <v>0</v>
      </c>
      <c r="K27" s="104">
        <f t="shared" si="1"/>
        <v>11.5</v>
      </c>
      <c r="L27" s="105">
        <f t="shared" si="2"/>
        <v>76960.432499999995</v>
      </c>
      <c r="M27" s="105">
        <f t="shared" si="3"/>
        <v>885044.97374999989</v>
      </c>
      <c r="N27" s="105">
        <f t="shared" si="9"/>
        <v>343220.44082024996</v>
      </c>
      <c r="O27" s="105">
        <v>0</v>
      </c>
      <c r="P27" s="105">
        <f t="shared" si="4"/>
        <v>1228265.4145702498</v>
      </c>
      <c r="Q27" s="105">
        <v>0</v>
      </c>
      <c r="R27" s="105">
        <f t="shared" si="5"/>
        <v>1228265.4145702498</v>
      </c>
      <c r="S27" s="85">
        <v>650033</v>
      </c>
      <c r="T27" s="109">
        <v>58400.65</v>
      </c>
    </row>
    <row r="28" spans="1:20" ht="13.5" customHeight="1" x14ac:dyDescent="0.3">
      <c r="A28" s="101" t="s">
        <v>157</v>
      </c>
      <c r="B28" s="102">
        <v>11001</v>
      </c>
      <c r="C28" s="98">
        <v>291</v>
      </c>
      <c r="D28" s="98">
        <v>0</v>
      </c>
      <c r="E28" s="98">
        <f t="shared" si="6"/>
        <v>291</v>
      </c>
      <c r="F28" s="104">
        <v>1</v>
      </c>
      <c r="G28" s="99">
        <f t="shared" si="7"/>
        <v>4</v>
      </c>
      <c r="H28" s="104">
        <f t="shared" si="10"/>
        <v>12.682500000000001</v>
      </c>
      <c r="I28" s="104">
        <f t="shared" si="8"/>
        <v>22.945002956830276</v>
      </c>
      <c r="J28" s="104">
        <f t="shared" si="0"/>
        <v>7.8848807411787888E-2</v>
      </c>
      <c r="K28" s="104">
        <f t="shared" si="1"/>
        <v>23.023851764242064</v>
      </c>
      <c r="L28" s="105">
        <f t="shared" si="2"/>
        <v>76960.432499999995</v>
      </c>
      <c r="M28" s="105">
        <f t="shared" si="3"/>
        <v>1771925.5895919572</v>
      </c>
      <c r="N28" s="105">
        <f t="shared" si="9"/>
        <v>687152.74364376091</v>
      </c>
      <c r="O28" s="105">
        <v>0</v>
      </c>
      <c r="P28" s="105">
        <f t="shared" si="4"/>
        <v>2459078.3332357183</v>
      </c>
      <c r="Q28" s="105">
        <v>0</v>
      </c>
      <c r="R28" s="105">
        <f t="shared" si="5"/>
        <v>2459078.3332357183</v>
      </c>
      <c r="S28" s="85">
        <v>868849</v>
      </c>
      <c r="T28" s="109">
        <v>144285.10999999999</v>
      </c>
    </row>
    <row r="29" spans="1:20" ht="13.5" customHeight="1" x14ac:dyDescent="0.3">
      <c r="A29" s="101" t="s">
        <v>304</v>
      </c>
      <c r="B29" s="102">
        <v>11004</v>
      </c>
      <c r="C29" s="98">
        <v>787</v>
      </c>
      <c r="D29" s="98">
        <v>0</v>
      </c>
      <c r="E29" s="98">
        <f t="shared" si="6"/>
        <v>787</v>
      </c>
      <c r="F29" s="104">
        <v>0</v>
      </c>
      <c r="G29" s="99">
        <f t="shared" si="7"/>
        <v>0</v>
      </c>
      <c r="H29" s="104">
        <f t="shared" si="10"/>
        <v>15</v>
      </c>
      <c r="I29" s="104">
        <f t="shared" si="8"/>
        <v>52.466666666666669</v>
      </c>
      <c r="J29" s="104">
        <f t="shared" si="0"/>
        <v>0</v>
      </c>
      <c r="K29" s="104">
        <f t="shared" si="1"/>
        <v>52.466666666666669</v>
      </c>
      <c r="L29" s="105">
        <f t="shared" si="2"/>
        <v>76960.432499999995</v>
      </c>
      <c r="M29" s="105">
        <f t="shared" si="3"/>
        <v>4037857.3585000001</v>
      </c>
      <c r="N29" s="105">
        <f t="shared" si="9"/>
        <v>1565881.0836262999</v>
      </c>
      <c r="O29" s="105">
        <v>0</v>
      </c>
      <c r="P29" s="105">
        <f t="shared" si="4"/>
        <v>5603738.4421263002</v>
      </c>
      <c r="Q29" s="105">
        <v>0</v>
      </c>
      <c r="R29" s="105">
        <f t="shared" si="5"/>
        <v>5603738.4421263002</v>
      </c>
      <c r="S29" s="85">
        <v>914562</v>
      </c>
      <c r="T29" s="109">
        <v>222917.71</v>
      </c>
    </row>
    <row r="30" spans="1:20" ht="13.5" customHeight="1" x14ac:dyDescent="0.3">
      <c r="A30" s="101" t="s">
        <v>263</v>
      </c>
      <c r="B30" s="102">
        <v>11005</v>
      </c>
      <c r="C30" s="98">
        <v>513</v>
      </c>
      <c r="D30" s="98">
        <v>0</v>
      </c>
      <c r="E30" s="98">
        <f t="shared" si="6"/>
        <v>513</v>
      </c>
      <c r="F30" s="104">
        <v>4.5</v>
      </c>
      <c r="G30" s="99">
        <f t="shared" si="7"/>
        <v>18</v>
      </c>
      <c r="H30" s="104">
        <f t="shared" si="10"/>
        <v>14.3475</v>
      </c>
      <c r="I30" s="104">
        <f t="shared" si="8"/>
        <v>35.755358076319915</v>
      </c>
      <c r="J30" s="104">
        <f t="shared" si="0"/>
        <v>0.31364349189754315</v>
      </c>
      <c r="K30" s="104">
        <f t="shared" si="1"/>
        <v>36.069001568217459</v>
      </c>
      <c r="L30" s="105">
        <f t="shared" si="2"/>
        <v>76960.432499999995</v>
      </c>
      <c r="M30" s="105">
        <f t="shared" si="3"/>
        <v>2775885.9605331938</v>
      </c>
      <c r="N30" s="105">
        <f t="shared" si="9"/>
        <v>1076488.5754947725</v>
      </c>
      <c r="O30" s="105">
        <v>0</v>
      </c>
      <c r="P30" s="105">
        <f t="shared" si="4"/>
        <v>3852374.5360279661</v>
      </c>
      <c r="Q30" s="105">
        <v>0</v>
      </c>
      <c r="R30" s="105">
        <f t="shared" si="5"/>
        <v>3852374.5360279661</v>
      </c>
      <c r="S30" s="85">
        <v>1827215</v>
      </c>
      <c r="T30" s="109">
        <v>328658.61</v>
      </c>
    </row>
    <row r="31" spans="1:20" ht="13.5" customHeight="1" x14ac:dyDescent="0.3">
      <c r="A31" s="101" t="s">
        <v>180</v>
      </c>
      <c r="B31" s="102">
        <v>12002</v>
      </c>
      <c r="C31" s="98">
        <v>467</v>
      </c>
      <c r="D31" s="98">
        <v>0</v>
      </c>
      <c r="E31" s="98">
        <f t="shared" si="6"/>
        <v>467</v>
      </c>
      <c r="F31" s="104">
        <v>16.5</v>
      </c>
      <c r="G31" s="99">
        <f t="shared" si="7"/>
        <v>66</v>
      </c>
      <c r="H31" s="104">
        <f t="shared" si="10"/>
        <v>14.0025</v>
      </c>
      <c r="I31" s="104">
        <f t="shared" si="8"/>
        <v>33.351187287984288</v>
      </c>
      <c r="J31" s="104">
        <f t="shared" si="0"/>
        <v>1.1783610069630424</v>
      </c>
      <c r="K31" s="104">
        <f t="shared" si="1"/>
        <v>34.529548294947332</v>
      </c>
      <c r="L31" s="105">
        <f t="shared" si="2"/>
        <v>76960.432499999995</v>
      </c>
      <c r="M31" s="105">
        <f t="shared" si="3"/>
        <v>2657408.970808784</v>
      </c>
      <c r="N31" s="105">
        <f t="shared" si="9"/>
        <v>1030543.1988796464</v>
      </c>
      <c r="O31" s="105">
        <v>0</v>
      </c>
      <c r="P31" s="105">
        <f t="shared" si="4"/>
        <v>3687952.1696884306</v>
      </c>
      <c r="Q31" s="105">
        <v>0</v>
      </c>
      <c r="R31" s="105">
        <f t="shared" si="5"/>
        <v>3687952.1696884306</v>
      </c>
      <c r="S31" s="85">
        <v>2051802</v>
      </c>
      <c r="T31" s="109">
        <v>304140.78999999998</v>
      </c>
    </row>
    <row r="32" spans="1:20" ht="13.5" customHeight="1" x14ac:dyDescent="0.3">
      <c r="A32" s="101" t="s">
        <v>297</v>
      </c>
      <c r="B32" s="102">
        <v>12003</v>
      </c>
      <c r="C32" s="98">
        <v>317</v>
      </c>
      <c r="D32" s="98">
        <v>0.1</v>
      </c>
      <c r="E32" s="98">
        <f t="shared" si="6"/>
        <v>317.10000000000002</v>
      </c>
      <c r="F32" s="104">
        <v>11.75</v>
      </c>
      <c r="G32" s="99">
        <f t="shared" si="7"/>
        <v>47</v>
      </c>
      <c r="H32" s="104">
        <f t="shared" si="10"/>
        <v>12.87825</v>
      </c>
      <c r="I32" s="104">
        <f t="shared" si="8"/>
        <v>24.622910721565432</v>
      </c>
      <c r="J32" s="104">
        <f t="shared" si="0"/>
        <v>0.9123910469201949</v>
      </c>
      <c r="K32" s="104">
        <f t="shared" si="1"/>
        <v>25.535301768485628</v>
      </c>
      <c r="L32" s="105">
        <f t="shared" si="2"/>
        <v>76960.432499999995</v>
      </c>
      <c r="M32" s="105">
        <f t="shared" si="3"/>
        <v>1965207.8681206687</v>
      </c>
      <c r="N32" s="105">
        <f t="shared" si="9"/>
        <v>762107.61125719524</v>
      </c>
      <c r="O32" s="105">
        <v>0</v>
      </c>
      <c r="P32" s="105">
        <f t="shared" si="4"/>
        <v>2727315.4793778639</v>
      </c>
      <c r="Q32" s="105">
        <v>0</v>
      </c>
      <c r="R32" s="105">
        <f t="shared" si="5"/>
        <v>2727315.4793778639</v>
      </c>
      <c r="S32" s="85">
        <v>978795</v>
      </c>
      <c r="T32" s="109">
        <v>428440.44000000006</v>
      </c>
    </row>
    <row r="33" spans="1:20" ht="13.5" customHeight="1" x14ac:dyDescent="0.3">
      <c r="A33" s="101" t="s">
        <v>284</v>
      </c>
      <c r="B33" s="102">
        <v>13001</v>
      </c>
      <c r="C33" s="98">
        <v>1393.41</v>
      </c>
      <c r="D33" s="98">
        <v>0</v>
      </c>
      <c r="E33" s="98">
        <f t="shared" si="6"/>
        <v>1393.41</v>
      </c>
      <c r="F33" s="104">
        <v>1.25</v>
      </c>
      <c r="G33" s="99">
        <f t="shared" si="7"/>
        <v>5</v>
      </c>
      <c r="H33" s="104">
        <f t="shared" si="10"/>
        <v>15</v>
      </c>
      <c r="I33" s="104">
        <f t="shared" si="8"/>
        <v>92.894000000000005</v>
      </c>
      <c r="J33" s="104">
        <f t="shared" si="0"/>
        <v>8.3333333333333329E-2</v>
      </c>
      <c r="K33" s="104">
        <f t="shared" si="1"/>
        <v>92.977333333333334</v>
      </c>
      <c r="L33" s="105">
        <f t="shared" si="2"/>
        <v>76960.432499999995</v>
      </c>
      <c r="M33" s="105">
        <f t="shared" si="3"/>
        <v>7155575.7860300001</v>
      </c>
      <c r="N33" s="105">
        <f t="shared" si="9"/>
        <v>2774932.2898224341</v>
      </c>
      <c r="O33" s="105">
        <v>0</v>
      </c>
      <c r="P33" s="105">
        <f t="shared" si="4"/>
        <v>9930508.0758524351</v>
      </c>
      <c r="Q33" s="105">
        <v>0</v>
      </c>
      <c r="R33" s="105">
        <f t="shared" si="5"/>
        <v>9930508.0758524351</v>
      </c>
      <c r="S33" s="85">
        <v>3321621</v>
      </c>
      <c r="T33" s="109">
        <v>418077.11</v>
      </c>
    </row>
    <row r="34" spans="1:20" ht="13.5" customHeight="1" x14ac:dyDescent="0.3">
      <c r="A34" s="101" t="s">
        <v>228</v>
      </c>
      <c r="B34" s="102">
        <v>13003</v>
      </c>
      <c r="C34" s="98">
        <v>275.42</v>
      </c>
      <c r="D34" s="98">
        <v>0.1</v>
      </c>
      <c r="E34" s="98">
        <f t="shared" si="6"/>
        <v>275.52000000000004</v>
      </c>
      <c r="F34" s="104">
        <v>0.5</v>
      </c>
      <c r="G34" s="99">
        <f t="shared" si="7"/>
        <v>2</v>
      </c>
      <c r="H34" s="104">
        <f t="shared" si="10"/>
        <v>12.5664</v>
      </c>
      <c r="I34" s="104">
        <f t="shared" si="8"/>
        <v>21.925133689839576</v>
      </c>
      <c r="J34" s="104">
        <f t="shared" si="0"/>
        <v>3.9788642729819204E-2</v>
      </c>
      <c r="K34" s="104">
        <f t="shared" si="1"/>
        <v>21.964922332569394</v>
      </c>
      <c r="L34" s="105">
        <f t="shared" si="2"/>
        <v>76960.432499999995</v>
      </c>
      <c r="M34" s="105">
        <f t="shared" si="3"/>
        <v>1690429.9225434493</v>
      </c>
      <c r="N34" s="105">
        <f t="shared" si="9"/>
        <v>655548.72396234958</v>
      </c>
      <c r="O34" s="105">
        <v>0</v>
      </c>
      <c r="P34" s="105">
        <f t="shared" si="4"/>
        <v>2345978.6465057991</v>
      </c>
      <c r="Q34" s="105">
        <v>0</v>
      </c>
      <c r="R34" s="105">
        <f t="shared" si="5"/>
        <v>2345978.6465057991</v>
      </c>
      <c r="S34" s="85">
        <v>991093</v>
      </c>
      <c r="T34" s="109">
        <v>170925.03999999998</v>
      </c>
    </row>
    <row r="35" spans="1:20" ht="13.5" customHeight="1" x14ac:dyDescent="0.3">
      <c r="A35" s="101" t="s">
        <v>205</v>
      </c>
      <c r="B35" s="102">
        <v>14001</v>
      </c>
      <c r="C35" s="98">
        <v>313.35000000000002</v>
      </c>
      <c r="D35" s="98">
        <v>0</v>
      </c>
      <c r="E35" s="98">
        <f t="shared" si="6"/>
        <v>313.35000000000002</v>
      </c>
      <c r="F35" s="104">
        <v>0</v>
      </c>
      <c r="G35" s="99">
        <f t="shared" si="7"/>
        <v>0</v>
      </c>
      <c r="H35" s="104">
        <f t="shared" si="10"/>
        <v>12.850125</v>
      </c>
      <c r="I35" s="104">
        <f t="shared" si="8"/>
        <v>24.384976799836579</v>
      </c>
      <c r="J35" s="104">
        <f t="shared" si="0"/>
        <v>0</v>
      </c>
      <c r="K35" s="104">
        <f t="shared" si="1"/>
        <v>24.384976799836579</v>
      </c>
      <c r="L35" s="105">
        <f t="shared" si="2"/>
        <v>76960.432499999995</v>
      </c>
      <c r="M35" s="105">
        <f t="shared" si="3"/>
        <v>1876678.3610178889</v>
      </c>
      <c r="N35" s="105">
        <f t="shared" si="9"/>
        <v>727775.86840273731</v>
      </c>
      <c r="O35" s="105">
        <v>0</v>
      </c>
      <c r="P35" s="105">
        <f t="shared" si="4"/>
        <v>2604454.2294206261</v>
      </c>
      <c r="Q35" s="105">
        <v>0</v>
      </c>
      <c r="R35" s="105">
        <f t="shared" si="5"/>
        <v>2604454.2294206261</v>
      </c>
      <c r="S35" s="85">
        <v>303659</v>
      </c>
      <c r="T35" s="109">
        <v>86393.84</v>
      </c>
    </row>
    <row r="36" spans="1:20" ht="13.5" customHeight="1" x14ac:dyDescent="0.3">
      <c r="A36" s="101" t="s">
        <v>218</v>
      </c>
      <c r="B36" s="102">
        <v>14002</v>
      </c>
      <c r="C36" s="98">
        <v>190</v>
      </c>
      <c r="D36" s="98">
        <v>0</v>
      </c>
      <c r="E36" s="98">
        <f t="shared" si="6"/>
        <v>190</v>
      </c>
      <c r="F36" s="104">
        <v>0</v>
      </c>
      <c r="G36" s="99">
        <f t="shared" si="7"/>
        <v>0</v>
      </c>
      <c r="H36" s="104">
        <f t="shared" si="10"/>
        <v>12</v>
      </c>
      <c r="I36" s="104">
        <f t="shared" si="8"/>
        <v>15.833333333333334</v>
      </c>
      <c r="J36" s="104">
        <f t="shared" si="0"/>
        <v>0</v>
      </c>
      <c r="K36" s="104">
        <f t="shared" si="1"/>
        <v>15.833333333333334</v>
      </c>
      <c r="L36" s="105">
        <f t="shared" si="2"/>
        <v>76960.432499999995</v>
      </c>
      <c r="M36" s="105">
        <f t="shared" si="3"/>
        <v>1218540.1812499999</v>
      </c>
      <c r="N36" s="105">
        <f t="shared" si="9"/>
        <v>472549.88228874991</v>
      </c>
      <c r="O36" s="105">
        <v>0</v>
      </c>
      <c r="P36" s="105">
        <f t="shared" si="4"/>
        <v>1691090.0635387497</v>
      </c>
      <c r="Q36" s="105">
        <v>0</v>
      </c>
      <c r="R36" s="105">
        <f t="shared" si="5"/>
        <v>1691090.0635387497</v>
      </c>
      <c r="S36" s="85">
        <v>252349</v>
      </c>
      <c r="T36" s="109">
        <v>59920.41</v>
      </c>
    </row>
    <row r="37" spans="1:20" ht="13.5" customHeight="1" x14ac:dyDescent="0.3">
      <c r="A37" s="101" t="s">
        <v>289</v>
      </c>
      <c r="B37" s="102">
        <v>14004</v>
      </c>
      <c r="C37" s="98">
        <v>3640.52</v>
      </c>
      <c r="D37" s="98">
        <v>0.1</v>
      </c>
      <c r="E37" s="98">
        <f t="shared" si="6"/>
        <v>3640.62</v>
      </c>
      <c r="F37" s="104">
        <v>19.25</v>
      </c>
      <c r="G37" s="99">
        <f t="shared" si="7"/>
        <v>77</v>
      </c>
      <c r="H37" s="104">
        <f t="shared" si="10"/>
        <v>15</v>
      </c>
      <c r="I37" s="104">
        <f t="shared" si="8"/>
        <v>242.708</v>
      </c>
      <c r="J37" s="104">
        <f t="shared" si="0"/>
        <v>1.2833333333333334</v>
      </c>
      <c r="K37" s="104">
        <f t="shared" si="1"/>
        <v>243.99133333333333</v>
      </c>
      <c r="L37" s="105">
        <f t="shared" si="2"/>
        <v>76960.432499999995</v>
      </c>
      <c r="M37" s="105">
        <f t="shared" si="3"/>
        <v>18777678.539584998</v>
      </c>
      <c r="N37" s="105">
        <f t="shared" si="9"/>
        <v>7281983.7376510622</v>
      </c>
      <c r="O37" s="105">
        <v>0</v>
      </c>
      <c r="P37" s="105">
        <f t="shared" si="4"/>
        <v>26059662.277236059</v>
      </c>
      <c r="Q37" s="105">
        <v>0</v>
      </c>
      <c r="R37" s="105">
        <f t="shared" si="5"/>
        <v>26059662.277236059</v>
      </c>
      <c r="S37" s="85">
        <v>11780654</v>
      </c>
      <c r="T37" s="109">
        <v>1288772.4400000002</v>
      </c>
    </row>
    <row r="38" spans="1:20" ht="13.5" customHeight="1" x14ac:dyDescent="0.3">
      <c r="A38" s="101" t="s">
        <v>291</v>
      </c>
      <c r="B38" s="102">
        <v>14005</v>
      </c>
      <c r="C38" s="98">
        <v>256</v>
      </c>
      <c r="D38" s="98">
        <v>0</v>
      </c>
      <c r="E38" s="98">
        <f t="shared" si="6"/>
        <v>256</v>
      </c>
      <c r="F38" s="104">
        <v>0</v>
      </c>
      <c r="G38" s="99">
        <f t="shared" si="7"/>
        <v>0</v>
      </c>
      <c r="H38" s="104">
        <f t="shared" si="10"/>
        <v>12.42</v>
      </c>
      <c r="I38" s="104">
        <f t="shared" si="8"/>
        <v>20.611916264090176</v>
      </c>
      <c r="J38" s="104">
        <f t="shared" si="0"/>
        <v>0</v>
      </c>
      <c r="K38" s="104">
        <f t="shared" si="1"/>
        <v>20.611916264090176</v>
      </c>
      <c r="L38" s="105">
        <f t="shared" si="2"/>
        <v>76960.432499999995</v>
      </c>
      <c r="M38" s="105">
        <f t="shared" si="3"/>
        <v>1586301.9903381641</v>
      </c>
      <c r="N38" s="105">
        <f t="shared" si="9"/>
        <v>615167.91185313999</v>
      </c>
      <c r="O38" s="105">
        <v>0</v>
      </c>
      <c r="P38" s="105">
        <f t="shared" si="4"/>
        <v>2201469.9021913041</v>
      </c>
      <c r="Q38" s="105">
        <v>0</v>
      </c>
      <c r="R38" s="105">
        <f t="shared" si="5"/>
        <v>2201469.9021913041</v>
      </c>
      <c r="S38" s="85">
        <v>479775</v>
      </c>
      <c r="T38" s="109">
        <v>113522.02999999997</v>
      </c>
    </row>
    <row r="39" spans="1:20" ht="13.5" customHeight="1" x14ac:dyDescent="0.3">
      <c r="A39" s="101" t="s">
        <v>243</v>
      </c>
      <c r="B39" s="102">
        <v>15001</v>
      </c>
      <c r="C39" s="98">
        <v>122</v>
      </c>
      <c r="D39" s="98">
        <v>0</v>
      </c>
      <c r="E39" s="98">
        <f t="shared" si="6"/>
        <v>122</v>
      </c>
      <c r="F39" s="104">
        <v>0</v>
      </c>
      <c r="G39" s="99">
        <f t="shared" si="7"/>
        <v>0</v>
      </c>
      <c r="H39" s="104">
        <f t="shared" si="10"/>
        <v>12</v>
      </c>
      <c r="I39" s="104">
        <f t="shared" si="8"/>
        <v>10.166666666666666</v>
      </c>
      <c r="J39" s="104">
        <f t="shared" si="0"/>
        <v>0</v>
      </c>
      <c r="K39" s="104">
        <f t="shared" si="1"/>
        <v>10.166666666666666</v>
      </c>
      <c r="L39" s="105">
        <f t="shared" si="2"/>
        <v>76960.432499999995</v>
      </c>
      <c r="M39" s="105">
        <f t="shared" si="3"/>
        <v>782431.06374999986</v>
      </c>
      <c r="N39" s="105">
        <f t="shared" si="9"/>
        <v>303426.76652224991</v>
      </c>
      <c r="O39" s="105">
        <v>0</v>
      </c>
      <c r="P39" s="105">
        <f t="shared" si="4"/>
        <v>1085857.8302722499</v>
      </c>
      <c r="Q39" s="105">
        <v>0</v>
      </c>
      <c r="R39" s="105">
        <f t="shared" si="5"/>
        <v>1085857.8302722499</v>
      </c>
      <c r="S39" s="85">
        <v>332728</v>
      </c>
      <c r="T39" s="109">
        <v>30509.84</v>
      </c>
    </row>
    <row r="40" spans="1:20" ht="13.5" customHeight="1" x14ac:dyDescent="0.3">
      <c r="A40" s="101" t="s">
        <v>244</v>
      </c>
      <c r="B40" s="102">
        <v>15002</v>
      </c>
      <c r="C40" s="98">
        <v>408.4</v>
      </c>
      <c r="D40" s="98">
        <v>0</v>
      </c>
      <c r="E40" s="98">
        <f t="shared" si="6"/>
        <v>408.4</v>
      </c>
      <c r="F40" s="104">
        <v>0.5</v>
      </c>
      <c r="G40" s="99">
        <f t="shared" si="7"/>
        <v>2</v>
      </c>
      <c r="H40" s="104">
        <f t="shared" si="10"/>
        <v>13.562999999999999</v>
      </c>
      <c r="I40" s="104">
        <f t="shared" si="8"/>
        <v>30.111332301113325</v>
      </c>
      <c r="J40" s="104">
        <f t="shared" si="0"/>
        <v>3.6865000368650008E-2</v>
      </c>
      <c r="K40" s="104">
        <f t="shared" si="1"/>
        <v>30.148197301481975</v>
      </c>
      <c r="L40" s="105">
        <f t="shared" si="2"/>
        <v>76960.432499999995</v>
      </c>
      <c r="M40" s="105">
        <f t="shared" si="3"/>
        <v>2320218.3034173856</v>
      </c>
      <c r="N40" s="105">
        <f t="shared" si="9"/>
        <v>899780.65806526202</v>
      </c>
      <c r="O40" s="105">
        <v>0</v>
      </c>
      <c r="P40" s="105">
        <f t="shared" si="4"/>
        <v>3219998.9614826478</v>
      </c>
      <c r="Q40" s="105">
        <v>0</v>
      </c>
      <c r="R40" s="105">
        <f t="shared" si="5"/>
        <v>3219998.9614826478</v>
      </c>
      <c r="S40" s="85">
        <v>423399</v>
      </c>
      <c r="T40" s="109">
        <v>96119.51999999999</v>
      </c>
    </row>
    <row r="41" spans="1:20" ht="13.5" customHeight="1" x14ac:dyDescent="0.3">
      <c r="A41" s="101" t="s">
        <v>274</v>
      </c>
      <c r="B41" s="102">
        <v>15003</v>
      </c>
      <c r="C41" s="98">
        <v>183</v>
      </c>
      <c r="D41" s="98">
        <v>0</v>
      </c>
      <c r="E41" s="98">
        <f t="shared" si="6"/>
        <v>183</v>
      </c>
      <c r="F41" s="104">
        <v>0</v>
      </c>
      <c r="G41" s="99">
        <f t="shared" si="7"/>
        <v>0</v>
      </c>
      <c r="H41" s="104">
        <f t="shared" si="10"/>
        <v>12</v>
      </c>
      <c r="I41" s="104">
        <f t="shared" si="8"/>
        <v>15.25</v>
      </c>
      <c r="J41" s="104">
        <f t="shared" si="0"/>
        <v>0</v>
      </c>
      <c r="K41" s="104">
        <f t="shared" si="1"/>
        <v>15.25</v>
      </c>
      <c r="L41" s="105">
        <f t="shared" si="2"/>
        <v>76960.432499999995</v>
      </c>
      <c r="M41" s="105">
        <f t="shared" si="3"/>
        <v>1173646.5956249998</v>
      </c>
      <c r="N41" s="105">
        <f t="shared" si="9"/>
        <v>455140.14978337492</v>
      </c>
      <c r="O41" s="105">
        <v>0</v>
      </c>
      <c r="P41" s="105">
        <f t="shared" si="4"/>
        <v>1628786.7454083748</v>
      </c>
      <c r="Q41" s="105">
        <v>0</v>
      </c>
      <c r="R41" s="105">
        <f t="shared" si="5"/>
        <v>1628786.7454083748</v>
      </c>
      <c r="S41" s="85">
        <v>44057</v>
      </c>
      <c r="T41" s="109">
        <v>28138.320000000003</v>
      </c>
    </row>
    <row r="42" spans="1:20" ht="13.5" customHeight="1" x14ac:dyDescent="0.3">
      <c r="A42" s="101" t="s">
        <v>184</v>
      </c>
      <c r="B42" s="102">
        <v>16001</v>
      </c>
      <c r="C42" s="98">
        <v>910.87</v>
      </c>
      <c r="D42" s="98">
        <v>0.8</v>
      </c>
      <c r="E42" s="98">
        <f t="shared" si="6"/>
        <v>911.67</v>
      </c>
      <c r="F42" s="104">
        <v>0.75</v>
      </c>
      <c r="G42" s="99">
        <f t="shared" si="7"/>
        <v>3</v>
      </c>
      <c r="H42" s="104">
        <f t="shared" si="10"/>
        <v>15</v>
      </c>
      <c r="I42" s="104">
        <f t="shared" si="8"/>
        <v>60.777999999999999</v>
      </c>
      <c r="J42" s="104">
        <f t="shared" si="0"/>
        <v>0.05</v>
      </c>
      <c r="K42" s="104">
        <f t="shared" si="1"/>
        <v>60.827999999999996</v>
      </c>
      <c r="L42" s="105">
        <f t="shared" si="2"/>
        <v>76960.432499999995</v>
      </c>
      <c r="M42" s="105">
        <f t="shared" si="3"/>
        <v>4681349.1881099995</v>
      </c>
      <c r="N42" s="105">
        <f t="shared" si="9"/>
        <v>1815427.2151490578</v>
      </c>
      <c r="O42" s="105">
        <v>0</v>
      </c>
      <c r="P42" s="105">
        <f t="shared" si="4"/>
        <v>6496776.4032590576</v>
      </c>
      <c r="Q42" s="105">
        <v>0</v>
      </c>
      <c r="R42" s="105">
        <f t="shared" si="5"/>
        <v>6496776.4032590576</v>
      </c>
      <c r="S42" s="85">
        <v>7309532</v>
      </c>
      <c r="T42" s="109">
        <v>466810.54</v>
      </c>
    </row>
    <row r="43" spans="1:20" ht="13.5" customHeight="1" x14ac:dyDescent="0.3">
      <c r="A43" s="101" t="s">
        <v>196</v>
      </c>
      <c r="B43" s="102">
        <v>16002</v>
      </c>
      <c r="C43" s="98">
        <v>15.71</v>
      </c>
      <c r="D43" s="98">
        <v>0</v>
      </c>
      <c r="E43" s="98">
        <f t="shared" si="6"/>
        <v>15.71</v>
      </c>
      <c r="F43" s="104">
        <v>0</v>
      </c>
      <c r="G43" s="99">
        <f t="shared" si="7"/>
        <v>0</v>
      </c>
      <c r="H43" s="104">
        <f t="shared" si="10"/>
        <v>12</v>
      </c>
      <c r="I43" s="104">
        <f t="shared" si="8"/>
        <v>1.3091666666666668</v>
      </c>
      <c r="J43" s="104">
        <f t="shared" si="0"/>
        <v>0</v>
      </c>
      <c r="K43" s="104">
        <f t="shared" si="1"/>
        <v>1.3091666666666668</v>
      </c>
      <c r="L43" s="105">
        <f t="shared" si="2"/>
        <v>76960.432499999995</v>
      </c>
      <c r="M43" s="105">
        <f t="shared" si="3"/>
        <v>100754.03288125001</v>
      </c>
      <c r="N43" s="105">
        <f t="shared" si="9"/>
        <v>39072.413951348753</v>
      </c>
      <c r="O43" s="105">
        <v>0</v>
      </c>
      <c r="P43" s="105">
        <f t="shared" si="4"/>
        <v>139826.44683259877</v>
      </c>
      <c r="Q43" s="105">
        <v>0</v>
      </c>
      <c r="R43" s="105">
        <f t="shared" si="5"/>
        <v>139826.44683259877</v>
      </c>
      <c r="S43" s="85">
        <v>364024</v>
      </c>
      <c r="T43" s="109">
        <v>6264.0300000000007</v>
      </c>
    </row>
    <row r="44" spans="1:20" ht="13.5" customHeight="1" x14ac:dyDescent="0.3">
      <c r="A44" s="101" t="s">
        <v>200</v>
      </c>
      <c r="B44" s="102">
        <v>17001</v>
      </c>
      <c r="C44" s="98">
        <v>279</v>
      </c>
      <c r="D44" s="98">
        <v>0</v>
      </c>
      <c r="E44" s="98">
        <f t="shared" si="6"/>
        <v>279</v>
      </c>
      <c r="F44" s="104">
        <v>0.25</v>
      </c>
      <c r="G44" s="99">
        <f t="shared" si="7"/>
        <v>1</v>
      </c>
      <c r="H44" s="104">
        <f t="shared" si="10"/>
        <v>12.592499999999999</v>
      </c>
      <c r="I44" s="104">
        <f t="shared" si="8"/>
        <v>22.156045265038713</v>
      </c>
      <c r="J44" s="104">
        <f t="shared" si="0"/>
        <v>1.9853087155052612E-2</v>
      </c>
      <c r="K44" s="104">
        <f t="shared" si="1"/>
        <v>22.175898352193766</v>
      </c>
      <c r="L44" s="105">
        <f t="shared" si="2"/>
        <v>76960.432499999995</v>
      </c>
      <c r="M44" s="105">
        <f t="shared" si="3"/>
        <v>1706666.7282608694</v>
      </c>
      <c r="N44" s="105">
        <f t="shared" si="9"/>
        <v>661845.35721956508</v>
      </c>
      <c r="O44" s="105">
        <v>0</v>
      </c>
      <c r="P44" s="105">
        <f t="shared" si="4"/>
        <v>2368512.0854804344</v>
      </c>
      <c r="Q44" s="105">
        <v>0</v>
      </c>
      <c r="R44" s="105">
        <f t="shared" si="5"/>
        <v>2368512.0854804344</v>
      </c>
      <c r="S44" s="85">
        <v>346784</v>
      </c>
      <c r="T44" s="109">
        <v>56028.859999999993</v>
      </c>
    </row>
    <row r="45" spans="1:20" ht="13.5" customHeight="1" x14ac:dyDescent="0.3">
      <c r="A45" s="101" t="s">
        <v>249</v>
      </c>
      <c r="B45" s="102">
        <v>17002</v>
      </c>
      <c r="C45" s="98">
        <v>2732.77</v>
      </c>
      <c r="D45" s="98">
        <v>0</v>
      </c>
      <c r="E45" s="98">
        <f t="shared" si="6"/>
        <v>2732.77</v>
      </c>
      <c r="F45" s="104">
        <v>29.25</v>
      </c>
      <c r="G45" s="99">
        <f t="shared" si="7"/>
        <v>117</v>
      </c>
      <c r="H45" s="104">
        <f t="shared" si="10"/>
        <v>15</v>
      </c>
      <c r="I45" s="104">
        <f t="shared" si="8"/>
        <v>182.18466666666666</v>
      </c>
      <c r="J45" s="104">
        <f t="shared" si="0"/>
        <v>1.95</v>
      </c>
      <c r="K45" s="104">
        <f t="shared" si="1"/>
        <v>184.13466666666665</v>
      </c>
      <c r="L45" s="105">
        <f t="shared" si="2"/>
        <v>76960.432499999995</v>
      </c>
      <c r="M45" s="105">
        <f t="shared" si="3"/>
        <v>14171083.584909998</v>
      </c>
      <c r="N45" s="105">
        <f t="shared" si="9"/>
        <v>5495546.2142280964</v>
      </c>
      <c r="O45" s="105">
        <v>0</v>
      </c>
      <c r="P45" s="105">
        <f t="shared" si="4"/>
        <v>19666629.799138095</v>
      </c>
      <c r="Q45" s="105">
        <v>0</v>
      </c>
      <c r="R45" s="105">
        <f t="shared" si="5"/>
        <v>19666629.799138095</v>
      </c>
      <c r="S45" s="85">
        <v>7558302</v>
      </c>
      <c r="T45" s="109">
        <v>778177.77</v>
      </c>
    </row>
    <row r="46" spans="1:20" ht="13.5" customHeight="1" x14ac:dyDescent="0.3">
      <c r="A46" s="101" t="s">
        <v>252</v>
      </c>
      <c r="B46" s="102">
        <v>17003</v>
      </c>
      <c r="C46" s="98">
        <v>251</v>
      </c>
      <c r="D46" s="98">
        <v>0</v>
      </c>
      <c r="E46" s="98">
        <f t="shared" si="6"/>
        <v>251</v>
      </c>
      <c r="F46" s="104">
        <v>0.5</v>
      </c>
      <c r="G46" s="99">
        <f t="shared" si="7"/>
        <v>2</v>
      </c>
      <c r="H46" s="104">
        <f t="shared" si="10"/>
        <v>12.3825</v>
      </c>
      <c r="I46" s="104">
        <f t="shared" si="8"/>
        <v>20.270543105188775</v>
      </c>
      <c r="J46" s="104">
        <f t="shared" si="0"/>
        <v>4.0379567938623052E-2</v>
      </c>
      <c r="K46" s="104">
        <f t="shared" si="1"/>
        <v>20.310922673127397</v>
      </c>
      <c r="L46" s="105">
        <f t="shared" si="2"/>
        <v>76960.432499999995</v>
      </c>
      <c r="M46" s="105">
        <f t="shared" si="3"/>
        <v>1563137.3933979406</v>
      </c>
      <c r="N46" s="105">
        <f t="shared" si="9"/>
        <v>606184.68115972134</v>
      </c>
      <c r="O46" s="105">
        <v>0</v>
      </c>
      <c r="P46" s="105">
        <f t="shared" si="4"/>
        <v>2169322.074557662</v>
      </c>
      <c r="Q46" s="105">
        <v>0</v>
      </c>
      <c r="R46" s="105">
        <f t="shared" si="5"/>
        <v>2169322.074557662</v>
      </c>
      <c r="S46" s="85">
        <v>483874</v>
      </c>
      <c r="T46" s="109">
        <v>79351.210000000006</v>
      </c>
    </row>
    <row r="47" spans="1:20" ht="13.5" customHeight="1" x14ac:dyDescent="0.3">
      <c r="A47" s="101" t="s">
        <v>290</v>
      </c>
      <c r="B47" s="102">
        <v>18003</v>
      </c>
      <c r="C47" s="98">
        <v>163</v>
      </c>
      <c r="D47" s="98">
        <v>0</v>
      </c>
      <c r="E47" s="98">
        <f t="shared" si="6"/>
        <v>163</v>
      </c>
      <c r="F47" s="104">
        <v>0</v>
      </c>
      <c r="G47" s="99">
        <f t="shared" si="7"/>
        <v>0</v>
      </c>
      <c r="H47" s="104">
        <f t="shared" si="10"/>
        <v>12</v>
      </c>
      <c r="I47" s="104">
        <f t="shared" si="8"/>
        <v>13.583333333333334</v>
      </c>
      <c r="J47" s="104">
        <f t="shared" si="0"/>
        <v>0</v>
      </c>
      <c r="K47" s="104">
        <f t="shared" si="1"/>
        <v>13.583333333333334</v>
      </c>
      <c r="L47" s="105">
        <f t="shared" si="2"/>
        <v>76960.432499999995</v>
      </c>
      <c r="M47" s="105">
        <f t="shared" si="3"/>
        <v>1045379.208125</v>
      </c>
      <c r="N47" s="105">
        <f t="shared" si="9"/>
        <v>405398.05691087496</v>
      </c>
      <c r="O47" s="105">
        <v>0</v>
      </c>
      <c r="P47" s="105">
        <f t="shared" si="4"/>
        <v>1450777.2650358749</v>
      </c>
      <c r="Q47" s="105">
        <v>0</v>
      </c>
      <c r="R47" s="105">
        <f t="shared" si="5"/>
        <v>1450777.2650358749</v>
      </c>
      <c r="S47" s="85">
        <v>631839</v>
      </c>
      <c r="T47" s="109">
        <v>94046.51999999999</v>
      </c>
    </row>
    <row r="48" spans="1:20" ht="13.5" customHeight="1" x14ac:dyDescent="0.3">
      <c r="A48" s="101" t="s">
        <v>292</v>
      </c>
      <c r="B48" s="102">
        <v>18005</v>
      </c>
      <c r="C48" s="98">
        <v>532.35</v>
      </c>
      <c r="D48" s="98">
        <v>0</v>
      </c>
      <c r="E48" s="98">
        <f t="shared" si="6"/>
        <v>532.35</v>
      </c>
      <c r="F48" s="104">
        <v>0</v>
      </c>
      <c r="G48" s="99">
        <f t="shared" si="7"/>
        <v>0</v>
      </c>
      <c r="H48" s="104">
        <f t="shared" si="10"/>
        <v>14.492625</v>
      </c>
      <c r="I48" s="104">
        <f t="shared" si="8"/>
        <v>36.73247600072451</v>
      </c>
      <c r="J48" s="104">
        <f t="shared" si="0"/>
        <v>0</v>
      </c>
      <c r="K48" s="104">
        <f t="shared" si="1"/>
        <v>36.73247600072451</v>
      </c>
      <c r="L48" s="105">
        <f t="shared" si="2"/>
        <v>76960.432499999995</v>
      </c>
      <c r="M48" s="105">
        <f t="shared" si="3"/>
        <v>2826947.2398116286</v>
      </c>
      <c r="N48" s="105">
        <f t="shared" si="9"/>
        <v>1096290.1395989496</v>
      </c>
      <c r="O48" s="105">
        <v>0</v>
      </c>
      <c r="P48" s="105">
        <f t="shared" si="4"/>
        <v>3923237.3794105779</v>
      </c>
      <c r="Q48" s="105">
        <v>0</v>
      </c>
      <c r="R48" s="105">
        <f t="shared" si="5"/>
        <v>3923237.3794105779</v>
      </c>
      <c r="S48" s="85">
        <v>2291101</v>
      </c>
      <c r="T48" s="109">
        <v>322282.23999999999</v>
      </c>
    </row>
    <row r="49" spans="1:20" ht="13.5" customHeight="1" x14ac:dyDescent="0.3">
      <c r="A49" s="101" t="s">
        <v>189</v>
      </c>
      <c r="B49" s="102">
        <v>19004</v>
      </c>
      <c r="C49" s="98">
        <v>512</v>
      </c>
      <c r="D49" s="98">
        <v>0.30000000000000004</v>
      </c>
      <c r="E49" s="98">
        <f t="shared" si="6"/>
        <v>512.29999999999995</v>
      </c>
      <c r="F49" s="104">
        <v>0</v>
      </c>
      <c r="G49" s="99">
        <f t="shared" si="7"/>
        <v>0</v>
      </c>
      <c r="H49" s="104">
        <f t="shared" si="10"/>
        <v>14.34225</v>
      </c>
      <c r="I49" s="104">
        <f t="shared" si="8"/>
        <v>35.71963952657358</v>
      </c>
      <c r="J49" s="104">
        <f t="shared" si="0"/>
        <v>0</v>
      </c>
      <c r="K49" s="104">
        <f t="shared" si="1"/>
        <v>35.71963952657358</v>
      </c>
      <c r="L49" s="105">
        <f t="shared" si="2"/>
        <v>76960.432499999995</v>
      </c>
      <c r="M49" s="105">
        <f t="shared" si="3"/>
        <v>2748998.9067091979</v>
      </c>
      <c r="N49" s="105">
        <f t="shared" si="9"/>
        <v>1066061.7760218268</v>
      </c>
      <c r="O49" s="105">
        <v>0</v>
      </c>
      <c r="P49" s="105">
        <f t="shared" si="4"/>
        <v>3815060.6827310249</v>
      </c>
      <c r="Q49" s="105">
        <v>0</v>
      </c>
      <c r="R49" s="105">
        <f t="shared" si="5"/>
        <v>3815060.6827310249</v>
      </c>
      <c r="S49" s="85">
        <v>1888206</v>
      </c>
      <c r="T49" s="109">
        <v>347284.49000000011</v>
      </c>
    </row>
    <row r="50" spans="1:20" ht="13.5" customHeight="1" x14ac:dyDescent="0.3">
      <c r="A50" s="101" t="s">
        <v>193</v>
      </c>
      <c r="B50" s="102">
        <v>20001</v>
      </c>
      <c r="C50" s="98">
        <v>385</v>
      </c>
      <c r="D50" s="98">
        <v>0</v>
      </c>
      <c r="E50" s="98">
        <f t="shared" si="6"/>
        <v>385</v>
      </c>
      <c r="F50" s="104">
        <v>0</v>
      </c>
      <c r="G50" s="99">
        <f t="shared" si="7"/>
        <v>0</v>
      </c>
      <c r="H50" s="104">
        <f t="shared" si="10"/>
        <v>13.387499999999999</v>
      </c>
      <c r="I50" s="104">
        <f t="shared" si="8"/>
        <v>28.758169934640524</v>
      </c>
      <c r="J50" s="104">
        <f t="shared" si="0"/>
        <v>0</v>
      </c>
      <c r="K50" s="104">
        <f t="shared" si="1"/>
        <v>28.758169934640524</v>
      </c>
      <c r="L50" s="105">
        <f t="shared" si="2"/>
        <v>76960.432499999995</v>
      </c>
      <c r="M50" s="105">
        <f t="shared" si="3"/>
        <v>2213241.1960784313</v>
      </c>
      <c r="N50" s="105">
        <f t="shared" si="9"/>
        <v>858294.93583921564</v>
      </c>
      <c r="O50" s="105">
        <v>0</v>
      </c>
      <c r="P50" s="105">
        <f t="shared" si="4"/>
        <v>3071536.1319176471</v>
      </c>
      <c r="Q50" s="105">
        <v>0</v>
      </c>
      <c r="R50" s="105">
        <f t="shared" si="5"/>
        <v>3071536.1319176471</v>
      </c>
      <c r="S50" s="85">
        <v>453459</v>
      </c>
      <c r="T50" s="109">
        <v>113631.48</v>
      </c>
    </row>
    <row r="51" spans="1:20" ht="13.5" customHeight="1" x14ac:dyDescent="0.3">
      <c r="A51" s="101" t="s">
        <v>280</v>
      </c>
      <c r="B51" s="102">
        <v>20003</v>
      </c>
      <c r="C51" s="98">
        <v>369</v>
      </c>
      <c r="D51" s="98">
        <v>0</v>
      </c>
      <c r="E51" s="98">
        <f t="shared" si="6"/>
        <v>369</v>
      </c>
      <c r="F51" s="104">
        <v>0.5</v>
      </c>
      <c r="G51" s="99">
        <f t="shared" si="7"/>
        <v>2</v>
      </c>
      <c r="H51" s="104">
        <f t="shared" si="10"/>
        <v>13.2675</v>
      </c>
      <c r="I51" s="104">
        <f t="shared" si="8"/>
        <v>27.81232334652346</v>
      </c>
      <c r="J51" s="104">
        <f t="shared" si="0"/>
        <v>3.768607499528924E-2</v>
      </c>
      <c r="K51" s="104">
        <f t="shared" si="1"/>
        <v>27.850009421518749</v>
      </c>
      <c r="L51" s="105">
        <f t="shared" si="2"/>
        <v>76960.432499999995</v>
      </c>
      <c r="M51" s="105">
        <f t="shared" si="3"/>
        <v>2143348.7702091574</v>
      </c>
      <c r="N51" s="105">
        <f t="shared" si="9"/>
        <v>831190.65308711119</v>
      </c>
      <c r="O51" s="105">
        <v>0</v>
      </c>
      <c r="P51" s="105">
        <f t="shared" si="4"/>
        <v>2974539.4232962686</v>
      </c>
      <c r="Q51" s="105">
        <v>0</v>
      </c>
      <c r="R51" s="105">
        <f t="shared" si="5"/>
        <v>2974539.4232962686</v>
      </c>
      <c r="S51" s="85">
        <v>406512</v>
      </c>
      <c r="T51" s="109">
        <v>55126.18</v>
      </c>
    </row>
    <row r="52" spans="1:20" ht="13.5" customHeight="1" x14ac:dyDescent="0.3">
      <c r="A52" s="101" t="s">
        <v>159</v>
      </c>
      <c r="B52" s="102">
        <v>21001</v>
      </c>
      <c r="C52" s="98">
        <v>196.38</v>
      </c>
      <c r="D52" s="98">
        <v>0</v>
      </c>
      <c r="E52" s="98">
        <f t="shared" si="6"/>
        <v>196.38</v>
      </c>
      <c r="F52" s="104">
        <v>0.75</v>
      </c>
      <c r="G52" s="99">
        <f t="shared" si="7"/>
        <v>3</v>
      </c>
      <c r="H52" s="104">
        <f t="shared" si="10"/>
        <v>12</v>
      </c>
      <c r="I52" s="104">
        <f t="shared" si="8"/>
        <v>16.364999999999998</v>
      </c>
      <c r="J52" s="104">
        <f t="shared" si="0"/>
        <v>6.25E-2</v>
      </c>
      <c r="K52" s="104">
        <f t="shared" si="1"/>
        <v>16.427499999999998</v>
      </c>
      <c r="L52" s="105">
        <f t="shared" si="2"/>
        <v>76960.432499999995</v>
      </c>
      <c r="M52" s="105">
        <f t="shared" si="3"/>
        <v>1264267.5048937497</v>
      </c>
      <c r="N52" s="105">
        <f t="shared" si="9"/>
        <v>490282.93839779613</v>
      </c>
      <c r="O52" s="105">
        <v>0</v>
      </c>
      <c r="P52" s="105">
        <f t="shared" si="4"/>
        <v>1754550.4432915458</v>
      </c>
      <c r="Q52" s="105">
        <v>0</v>
      </c>
      <c r="R52" s="105">
        <f t="shared" si="5"/>
        <v>1754550.4432915458</v>
      </c>
      <c r="S52" s="85">
        <v>410248</v>
      </c>
      <c r="T52" s="109">
        <v>86682.37000000001</v>
      </c>
    </row>
    <row r="53" spans="1:20" ht="13.5" customHeight="1" x14ac:dyDescent="0.3">
      <c r="A53" s="101" t="s">
        <v>183</v>
      </c>
      <c r="B53" s="102">
        <v>21003</v>
      </c>
      <c r="C53" s="98">
        <v>252.5</v>
      </c>
      <c r="D53" s="98">
        <v>0</v>
      </c>
      <c r="E53" s="98">
        <f t="shared" si="6"/>
        <v>252.5</v>
      </c>
      <c r="F53" s="104">
        <v>0.5</v>
      </c>
      <c r="G53" s="99">
        <f t="shared" si="7"/>
        <v>2</v>
      </c>
      <c r="H53" s="104">
        <f t="shared" si="10"/>
        <v>12.393750000000001</v>
      </c>
      <c r="I53" s="104">
        <f t="shared" si="8"/>
        <v>20.373171961674231</v>
      </c>
      <c r="J53" s="104">
        <f t="shared" si="0"/>
        <v>4.0342914775592535E-2</v>
      </c>
      <c r="K53" s="104">
        <f t="shared" si="1"/>
        <v>20.413514876449824</v>
      </c>
      <c r="L53" s="105">
        <f t="shared" si="2"/>
        <v>76960.432499999995</v>
      </c>
      <c r="M53" s="105">
        <f t="shared" si="3"/>
        <v>1571032.9337367625</v>
      </c>
      <c r="N53" s="105">
        <f t="shared" si="9"/>
        <v>609246.57170311641</v>
      </c>
      <c r="O53" s="105">
        <v>0</v>
      </c>
      <c r="P53" s="105">
        <f t="shared" si="4"/>
        <v>2180279.5054398789</v>
      </c>
      <c r="Q53" s="105">
        <v>0</v>
      </c>
      <c r="R53" s="105">
        <f t="shared" si="5"/>
        <v>2180279.5054398789</v>
      </c>
      <c r="S53" s="85">
        <v>954025</v>
      </c>
      <c r="T53" s="109">
        <v>173804.45</v>
      </c>
    </row>
    <row r="54" spans="1:20" ht="13.5" customHeight="1" x14ac:dyDescent="0.3">
      <c r="A54" s="101" t="s">
        <v>168</v>
      </c>
      <c r="B54" s="102">
        <v>22001</v>
      </c>
      <c r="C54" s="98">
        <v>98.13</v>
      </c>
      <c r="D54" s="98">
        <v>0</v>
      </c>
      <c r="E54" s="98">
        <f t="shared" si="6"/>
        <v>98.13</v>
      </c>
      <c r="F54" s="104">
        <v>0</v>
      </c>
      <c r="G54" s="99">
        <f t="shared" si="7"/>
        <v>0</v>
      </c>
      <c r="H54" s="104">
        <f t="shared" si="10"/>
        <v>12</v>
      </c>
      <c r="I54" s="104">
        <f t="shared" si="8"/>
        <v>8.1775000000000002</v>
      </c>
      <c r="J54" s="104">
        <f t="shared" si="0"/>
        <v>0</v>
      </c>
      <c r="K54" s="104">
        <f t="shared" si="1"/>
        <v>8.1775000000000002</v>
      </c>
      <c r="L54" s="105">
        <f t="shared" si="2"/>
        <v>76960.432499999995</v>
      </c>
      <c r="M54" s="105">
        <f t="shared" si="3"/>
        <v>629343.93676874996</v>
      </c>
      <c r="N54" s="105">
        <f t="shared" si="9"/>
        <v>244059.57867892121</v>
      </c>
      <c r="O54" s="105">
        <v>0</v>
      </c>
      <c r="P54" s="105">
        <f t="shared" si="4"/>
        <v>873403.51544767118</v>
      </c>
      <c r="Q54" s="105">
        <v>0</v>
      </c>
      <c r="R54" s="105">
        <f t="shared" si="5"/>
        <v>873403.51544767118</v>
      </c>
      <c r="S54" s="85">
        <v>517353</v>
      </c>
      <c r="T54" s="109">
        <v>78317.23</v>
      </c>
    </row>
    <row r="55" spans="1:20" ht="13.5" customHeight="1" x14ac:dyDescent="0.3">
      <c r="A55" s="101" t="s">
        <v>195</v>
      </c>
      <c r="B55" s="102">
        <v>22005</v>
      </c>
      <c r="C55" s="98">
        <v>132</v>
      </c>
      <c r="D55" s="98">
        <v>0</v>
      </c>
      <c r="E55" s="98">
        <f t="shared" si="6"/>
        <v>132</v>
      </c>
      <c r="F55" s="104">
        <v>0.5</v>
      </c>
      <c r="G55" s="99">
        <f t="shared" si="7"/>
        <v>2</v>
      </c>
      <c r="H55" s="104">
        <f t="shared" si="10"/>
        <v>12</v>
      </c>
      <c r="I55" s="104">
        <f t="shared" si="8"/>
        <v>11</v>
      </c>
      <c r="J55" s="104">
        <f t="shared" si="0"/>
        <v>4.1666666666666664E-2</v>
      </c>
      <c r="K55" s="104">
        <f t="shared" si="1"/>
        <v>11.041666666666666</v>
      </c>
      <c r="L55" s="105">
        <f t="shared" si="2"/>
        <v>76960.432499999995</v>
      </c>
      <c r="M55" s="105">
        <f t="shared" si="3"/>
        <v>849771.44218749995</v>
      </c>
      <c r="N55" s="105">
        <f t="shared" si="9"/>
        <v>329541.36528031249</v>
      </c>
      <c r="O55" s="105">
        <v>0</v>
      </c>
      <c r="P55" s="105">
        <f t="shared" si="4"/>
        <v>1179312.8074678124</v>
      </c>
      <c r="Q55" s="105">
        <v>0</v>
      </c>
      <c r="R55" s="105">
        <f t="shared" si="5"/>
        <v>1179312.8074678124</v>
      </c>
      <c r="S55" s="85">
        <v>1061198</v>
      </c>
      <c r="T55" s="109">
        <v>79230.97</v>
      </c>
    </row>
    <row r="56" spans="1:20" ht="13.5" customHeight="1" x14ac:dyDescent="0.3">
      <c r="A56" s="101" t="s">
        <v>227</v>
      </c>
      <c r="B56" s="102">
        <v>22006</v>
      </c>
      <c r="C56" s="98">
        <v>408.07</v>
      </c>
      <c r="D56" s="98">
        <v>0.2</v>
      </c>
      <c r="E56" s="98">
        <f t="shared" si="6"/>
        <v>408.27</v>
      </c>
      <c r="F56" s="104">
        <v>10.25</v>
      </c>
      <c r="G56" s="99">
        <f t="shared" si="7"/>
        <v>41</v>
      </c>
      <c r="H56" s="104">
        <f t="shared" si="10"/>
        <v>13.562025</v>
      </c>
      <c r="I56" s="104">
        <f t="shared" si="8"/>
        <v>30.103911473397222</v>
      </c>
      <c r="J56" s="104">
        <f t="shared" si="0"/>
        <v>0.75578683861738938</v>
      </c>
      <c r="K56" s="104">
        <f t="shared" si="1"/>
        <v>30.859698312014611</v>
      </c>
      <c r="L56" s="105">
        <f t="shared" si="2"/>
        <v>76960.432499999995</v>
      </c>
      <c r="M56" s="105">
        <f t="shared" si="3"/>
        <v>2374975.7289121645</v>
      </c>
      <c r="N56" s="105">
        <f t="shared" si="9"/>
        <v>921015.58767213731</v>
      </c>
      <c r="O56" s="105">
        <v>0</v>
      </c>
      <c r="P56" s="105">
        <f t="shared" si="4"/>
        <v>3295991.3165843016</v>
      </c>
      <c r="Q56" s="105">
        <v>0</v>
      </c>
      <c r="R56" s="105">
        <f t="shared" si="5"/>
        <v>3295991.3165843016</v>
      </c>
      <c r="S56" s="85">
        <v>2017126</v>
      </c>
      <c r="T56" s="109">
        <v>422339.31</v>
      </c>
    </row>
    <row r="57" spans="1:20" ht="13.5" customHeight="1" x14ac:dyDescent="0.3">
      <c r="A57" s="101" t="s">
        <v>194</v>
      </c>
      <c r="B57" s="102">
        <v>23001</v>
      </c>
      <c r="C57" s="98">
        <v>122</v>
      </c>
      <c r="D57" s="98">
        <v>0</v>
      </c>
      <c r="E57" s="98">
        <f t="shared" si="6"/>
        <v>122</v>
      </c>
      <c r="F57" s="104">
        <v>0</v>
      </c>
      <c r="G57" s="99">
        <f t="shared" si="7"/>
        <v>0</v>
      </c>
      <c r="H57" s="104">
        <f t="shared" si="10"/>
        <v>12</v>
      </c>
      <c r="I57" s="104">
        <f t="shared" si="8"/>
        <v>10.166666666666666</v>
      </c>
      <c r="J57" s="104">
        <f t="shared" si="0"/>
        <v>0</v>
      </c>
      <c r="K57" s="104">
        <f t="shared" si="1"/>
        <v>10.166666666666666</v>
      </c>
      <c r="L57" s="105">
        <f t="shared" si="2"/>
        <v>76960.432499999995</v>
      </c>
      <c r="M57" s="105">
        <f t="shared" si="3"/>
        <v>782431.06374999986</v>
      </c>
      <c r="N57" s="105">
        <f t="shared" si="9"/>
        <v>303426.76652224991</v>
      </c>
      <c r="O57" s="105">
        <v>0</v>
      </c>
      <c r="P57" s="105">
        <f t="shared" si="4"/>
        <v>1085857.8302722499</v>
      </c>
      <c r="Q57" s="105">
        <v>0</v>
      </c>
      <c r="R57" s="105">
        <f t="shared" si="5"/>
        <v>1085857.8302722499</v>
      </c>
      <c r="S57" s="85">
        <v>946186</v>
      </c>
      <c r="T57" s="109">
        <v>68706.38</v>
      </c>
    </row>
    <row r="58" spans="1:20" ht="13.5" customHeight="1" x14ac:dyDescent="0.3">
      <c r="A58" s="101" t="s">
        <v>223</v>
      </c>
      <c r="B58" s="102">
        <v>23002</v>
      </c>
      <c r="C58" s="98">
        <v>728.8</v>
      </c>
      <c r="D58" s="98">
        <v>0.5</v>
      </c>
      <c r="E58" s="98">
        <f t="shared" si="6"/>
        <v>729.3</v>
      </c>
      <c r="F58" s="104">
        <v>1</v>
      </c>
      <c r="G58" s="99">
        <f t="shared" si="7"/>
        <v>4</v>
      </c>
      <c r="H58" s="104">
        <f t="shared" si="10"/>
        <v>15</v>
      </c>
      <c r="I58" s="104">
        <f t="shared" si="8"/>
        <v>48.62</v>
      </c>
      <c r="J58" s="104">
        <f t="shared" si="0"/>
        <v>6.6666666666666666E-2</v>
      </c>
      <c r="K58" s="104">
        <f t="shared" si="1"/>
        <v>48.686666666666667</v>
      </c>
      <c r="L58" s="105">
        <f t="shared" si="2"/>
        <v>76960.432499999995</v>
      </c>
      <c r="M58" s="105">
        <f t="shared" si="3"/>
        <v>3746946.9236499998</v>
      </c>
      <c r="N58" s="105">
        <f t="shared" si="9"/>
        <v>1453066.0169914698</v>
      </c>
      <c r="O58" s="105">
        <v>0</v>
      </c>
      <c r="P58" s="105">
        <f t="shared" si="4"/>
        <v>5200012.9406414693</v>
      </c>
      <c r="Q58" s="105">
        <v>0</v>
      </c>
      <c r="R58" s="105">
        <f t="shared" si="5"/>
        <v>5200012.9406414693</v>
      </c>
      <c r="S58" s="85">
        <v>3024184</v>
      </c>
      <c r="T58" s="109">
        <v>358892.70999999996</v>
      </c>
    </row>
    <row r="59" spans="1:20" ht="13.5" customHeight="1" x14ac:dyDescent="0.3">
      <c r="A59" s="101" t="s">
        <v>256</v>
      </c>
      <c r="B59" s="102">
        <v>23003</v>
      </c>
      <c r="C59" s="98">
        <v>106</v>
      </c>
      <c r="D59" s="98">
        <v>0</v>
      </c>
      <c r="E59" s="98">
        <f t="shared" si="6"/>
        <v>106</v>
      </c>
      <c r="F59" s="104">
        <v>0</v>
      </c>
      <c r="G59" s="99">
        <f t="shared" si="7"/>
        <v>0</v>
      </c>
      <c r="H59" s="104">
        <f t="shared" si="10"/>
        <v>12</v>
      </c>
      <c r="I59" s="104">
        <f t="shared" si="8"/>
        <v>8.8333333333333339</v>
      </c>
      <c r="J59" s="104">
        <f t="shared" si="0"/>
        <v>0</v>
      </c>
      <c r="K59" s="104">
        <f t="shared" si="1"/>
        <v>8.8333333333333339</v>
      </c>
      <c r="L59" s="105">
        <f t="shared" si="2"/>
        <v>76960.432499999995</v>
      </c>
      <c r="M59" s="105">
        <f t="shared" si="3"/>
        <v>679817.15375000006</v>
      </c>
      <c r="N59" s="105">
        <f t="shared" si="9"/>
        <v>263633.09222425002</v>
      </c>
      <c r="O59" s="105">
        <v>0</v>
      </c>
      <c r="P59" s="105">
        <f t="shared" si="4"/>
        <v>943450.24597425014</v>
      </c>
      <c r="Q59" s="105">
        <v>0</v>
      </c>
      <c r="R59" s="105">
        <f t="shared" si="5"/>
        <v>943450.24597425014</v>
      </c>
      <c r="S59" s="85">
        <v>176363</v>
      </c>
      <c r="T59" s="109">
        <v>26034.92</v>
      </c>
    </row>
    <row r="60" spans="1:20" ht="13.5" customHeight="1" x14ac:dyDescent="0.3">
      <c r="A60" s="101" t="s">
        <v>307</v>
      </c>
      <c r="B60" s="102">
        <v>24004</v>
      </c>
      <c r="C60" s="98">
        <v>374</v>
      </c>
      <c r="D60" s="98">
        <v>0</v>
      </c>
      <c r="E60" s="98">
        <f t="shared" si="6"/>
        <v>374</v>
      </c>
      <c r="F60" s="104">
        <v>5.75</v>
      </c>
      <c r="G60" s="99">
        <f t="shared" si="7"/>
        <v>23</v>
      </c>
      <c r="H60" s="104">
        <f t="shared" si="10"/>
        <v>13.305</v>
      </c>
      <c r="I60" s="104">
        <f t="shared" si="8"/>
        <v>28.109733183013905</v>
      </c>
      <c r="J60" s="104">
        <f t="shared" si="0"/>
        <v>0.43216835776024054</v>
      </c>
      <c r="K60" s="104">
        <f t="shared" si="1"/>
        <v>28.541901540774145</v>
      </c>
      <c r="L60" s="105">
        <f t="shared" si="2"/>
        <v>76960.432499999995</v>
      </c>
      <c r="M60" s="105">
        <f t="shared" si="3"/>
        <v>2196597.0869503943</v>
      </c>
      <c r="N60" s="105">
        <f t="shared" si="9"/>
        <v>851840.35031936283</v>
      </c>
      <c r="O60" s="105">
        <v>0</v>
      </c>
      <c r="P60" s="105">
        <f t="shared" si="4"/>
        <v>3048437.437269757</v>
      </c>
      <c r="Q60" s="105">
        <v>0</v>
      </c>
      <c r="R60" s="105">
        <f t="shared" si="5"/>
        <v>3048437.437269757</v>
      </c>
      <c r="S60" s="85">
        <v>1460374</v>
      </c>
      <c r="T60" s="109">
        <v>157211.46</v>
      </c>
    </row>
    <row r="61" spans="1:20" ht="13.5" customHeight="1" x14ac:dyDescent="0.3">
      <c r="A61" s="101" t="s">
        <v>165</v>
      </c>
      <c r="B61" s="102">
        <v>25001</v>
      </c>
      <c r="C61" s="98">
        <v>77</v>
      </c>
      <c r="D61" s="98">
        <v>0</v>
      </c>
      <c r="E61" s="98">
        <f t="shared" si="6"/>
        <v>77</v>
      </c>
      <c r="F61" s="104">
        <v>0.5</v>
      </c>
      <c r="G61" s="99">
        <f t="shared" si="7"/>
        <v>2</v>
      </c>
      <c r="H61" s="104">
        <f t="shared" si="10"/>
        <v>12</v>
      </c>
      <c r="I61" s="104">
        <f t="shared" si="8"/>
        <v>6.416666666666667</v>
      </c>
      <c r="J61" s="104">
        <f t="shared" si="0"/>
        <v>4.1666666666666664E-2</v>
      </c>
      <c r="K61" s="104">
        <f t="shared" si="1"/>
        <v>6.4583333333333339</v>
      </c>
      <c r="L61" s="105">
        <f t="shared" si="2"/>
        <v>76960.432499999995</v>
      </c>
      <c r="M61" s="105">
        <f t="shared" si="3"/>
        <v>497036.12656250002</v>
      </c>
      <c r="N61" s="105">
        <f t="shared" si="9"/>
        <v>192750.6098809375</v>
      </c>
      <c r="O61" s="105">
        <v>0</v>
      </c>
      <c r="P61" s="105">
        <f t="shared" si="4"/>
        <v>689786.73644343752</v>
      </c>
      <c r="Q61" s="105">
        <v>0</v>
      </c>
      <c r="R61" s="105">
        <f t="shared" si="5"/>
        <v>689786.73644343752</v>
      </c>
      <c r="S61" s="85">
        <v>575494</v>
      </c>
      <c r="T61" s="109">
        <v>31447</v>
      </c>
    </row>
    <row r="62" spans="1:20" ht="13.5" customHeight="1" x14ac:dyDescent="0.3">
      <c r="A62" s="101" t="s">
        <v>247</v>
      </c>
      <c r="B62" s="102">
        <v>25004</v>
      </c>
      <c r="C62" s="98">
        <v>1009.17</v>
      </c>
      <c r="D62" s="98">
        <v>0.2</v>
      </c>
      <c r="E62" s="98">
        <f t="shared" si="6"/>
        <v>1009.37</v>
      </c>
      <c r="F62" s="104">
        <v>14.25</v>
      </c>
      <c r="G62" s="99">
        <f t="shared" si="7"/>
        <v>57</v>
      </c>
      <c r="H62" s="104">
        <f t="shared" si="10"/>
        <v>15</v>
      </c>
      <c r="I62" s="104">
        <f t="shared" si="8"/>
        <v>67.291333333333327</v>
      </c>
      <c r="J62" s="104">
        <f t="shared" si="0"/>
        <v>0.95</v>
      </c>
      <c r="K62" s="104">
        <f t="shared" si="1"/>
        <v>68.24133333333333</v>
      </c>
      <c r="L62" s="105">
        <f t="shared" si="2"/>
        <v>76960.432499999995</v>
      </c>
      <c r="M62" s="105">
        <f t="shared" si="3"/>
        <v>5251882.5277099991</v>
      </c>
      <c r="N62" s="105">
        <f t="shared" si="9"/>
        <v>2036680.0442459376</v>
      </c>
      <c r="O62" s="105">
        <v>0</v>
      </c>
      <c r="P62" s="105">
        <f t="shared" si="4"/>
        <v>7288562.571955937</v>
      </c>
      <c r="Q62" s="105">
        <v>0</v>
      </c>
      <c r="R62" s="105">
        <f t="shared" si="5"/>
        <v>7288562.571955937</v>
      </c>
      <c r="S62" s="85">
        <v>3249312</v>
      </c>
      <c r="T62" s="109">
        <v>354111.04</v>
      </c>
    </row>
    <row r="63" spans="1:20" ht="12.75" customHeight="1" x14ac:dyDescent="0.3">
      <c r="A63" s="101" t="s">
        <v>173</v>
      </c>
      <c r="B63" s="102">
        <v>26002</v>
      </c>
      <c r="C63" s="98">
        <v>206.29</v>
      </c>
      <c r="D63" s="98">
        <v>0</v>
      </c>
      <c r="E63" s="98">
        <f t="shared" si="6"/>
        <v>206.29</v>
      </c>
      <c r="F63" s="104">
        <v>0</v>
      </c>
      <c r="G63" s="99">
        <f t="shared" si="7"/>
        <v>0</v>
      </c>
      <c r="H63" s="104">
        <f t="shared" si="10"/>
        <v>12.047174999999999</v>
      </c>
      <c r="I63" s="104">
        <f t="shared" si="8"/>
        <v>17.123516509057104</v>
      </c>
      <c r="J63" s="104">
        <f t="shared" si="0"/>
        <v>0</v>
      </c>
      <c r="K63" s="104">
        <f t="shared" si="1"/>
        <v>17.123516509057104</v>
      </c>
      <c r="L63" s="105">
        <f t="shared" si="2"/>
        <v>76960.432499999995</v>
      </c>
      <c r="M63" s="105">
        <f t="shared" si="3"/>
        <v>1317833.2364579248</v>
      </c>
      <c r="N63" s="105">
        <f t="shared" si="9"/>
        <v>511055.72909838322</v>
      </c>
      <c r="O63" s="105">
        <v>0</v>
      </c>
      <c r="P63" s="105">
        <f t="shared" si="4"/>
        <v>1828888.9655563082</v>
      </c>
      <c r="Q63" s="105">
        <v>0</v>
      </c>
      <c r="R63" s="105">
        <f t="shared" si="5"/>
        <v>1828888.9655563082</v>
      </c>
      <c r="S63" s="85">
        <v>481633</v>
      </c>
      <c r="T63" s="109">
        <v>100134.16</v>
      </c>
    </row>
    <row r="64" spans="1:20" ht="13.5" customHeight="1" x14ac:dyDescent="0.3">
      <c r="A64" s="101" t="s">
        <v>211</v>
      </c>
      <c r="B64" s="102">
        <v>26004</v>
      </c>
      <c r="C64" s="98">
        <v>407.31</v>
      </c>
      <c r="D64" s="98">
        <v>0</v>
      </c>
      <c r="E64" s="98">
        <f t="shared" si="6"/>
        <v>407.31</v>
      </c>
      <c r="F64" s="104">
        <v>0</v>
      </c>
      <c r="G64" s="99">
        <f t="shared" si="7"/>
        <v>0</v>
      </c>
      <c r="H64" s="104">
        <f t="shared" si="10"/>
        <v>13.554825000000001</v>
      </c>
      <c r="I64" s="104">
        <f t="shared" si="8"/>
        <v>30.04907846467955</v>
      </c>
      <c r="J64" s="104">
        <f t="shared" si="0"/>
        <v>0</v>
      </c>
      <c r="K64" s="104">
        <f t="shared" si="1"/>
        <v>30.04907846467955</v>
      </c>
      <c r="L64" s="105">
        <f t="shared" si="2"/>
        <v>76960.432499999995</v>
      </c>
      <c r="M64" s="105">
        <f t="shared" si="3"/>
        <v>2312590.0748681738</v>
      </c>
      <c r="N64" s="105">
        <f t="shared" si="9"/>
        <v>896822.43103387777</v>
      </c>
      <c r="O64" s="105">
        <v>0</v>
      </c>
      <c r="P64" s="105">
        <f t="shared" si="4"/>
        <v>3209412.5059020515</v>
      </c>
      <c r="Q64" s="105">
        <v>0</v>
      </c>
      <c r="R64" s="105">
        <f t="shared" si="5"/>
        <v>3209412.5059020515</v>
      </c>
      <c r="S64" s="85">
        <v>865957</v>
      </c>
      <c r="T64" s="109">
        <v>186334.53999999998</v>
      </c>
    </row>
    <row r="65" spans="1:20" ht="13.5" customHeight="1" x14ac:dyDescent="0.3">
      <c r="A65" s="101" t="s">
        <v>275</v>
      </c>
      <c r="B65" s="102">
        <v>26005</v>
      </c>
      <c r="C65" s="98">
        <v>83</v>
      </c>
      <c r="D65" s="98">
        <v>0</v>
      </c>
      <c r="E65" s="98">
        <f t="shared" si="6"/>
        <v>83</v>
      </c>
      <c r="F65" s="104">
        <v>0</v>
      </c>
      <c r="G65" s="99">
        <f t="shared" si="7"/>
        <v>0</v>
      </c>
      <c r="H65" s="104">
        <f t="shared" si="10"/>
        <v>12</v>
      </c>
      <c r="I65" s="104">
        <f t="shared" si="8"/>
        <v>6.916666666666667</v>
      </c>
      <c r="J65" s="104">
        <f t="shared" si="0"/>
        <v>0</v>
      </c>
      <c r="K65" s="104">
        <f t="shared" si="1"/>
        <v>6.916666666666667</v>
      </c>
      <c r="L65" s="105">
        <f t="shared" si="2"/>
        <v>76960.432499999995</v>
      </c>
      <c r="M65" s="105">
        <f t="shared" si="3"/>
        <v>532309.65812499996</v>
      </c>
      <c r="N65" s="105">
        <f t="shared" si="9"/>
        <v>206429.68542087497</v>
      </c>
      <c r="O65" s="105">
        <v>0</v>
      </c>
      <c r="P65" s="105">
        <f t="shared" si="4"/>
        <v>738739.34354587493</v>
      </c>
      <c r="Q65" s="105">
        <v>0</v>
      </c>
      <c r="R65" s="105">
        <f t="shared" si="5"/>
        <v>738739.34354587493</v>
      </c>
      <c r="S65" s="85">
        <v>348061</v>
      </c>
      <c r="T65" s="109">
        <v>64378.720000000001</v>
      </c>
    </row>
    <row r="66" spans="1:20" ht="13.5" customHeight="1" x14ac:dyDescent="0.3">
      <c r="A66" s="101" t="s">
        <v>213</v>
      </c>
      <c r="B66" s="102">
        <v>27001</v>
      </c>
      <c r="C66" s="98">
        <v>323.81</v>
      </c>
      <c r="D66" s="98">
        <v>0</v>
      </c>
      <c r="E66" s="98">
        <f t="shared" si="6"/>
        <v>323.81</v>
      </c>
      <c r="F66" s="104">
        <v>0.25</v>
      </c>
      <c r="G66" s="99">
        <f t="shared" si="7"/>
        <v>1</v>
      </c>
      <c r="H66" s="104">
        <f t="shared" si="10"/>
        <v>12.928575</v>
      </c>
      <c r="I66" s="104">
        <f t="shared" si="8"/>
        <v>25.046070429262311</v>
      </c>
      <c r="J66" s="104">
        <f t="shared" si="0"/>
        <v>1.9337011232869825E-2</v>
      </c>
      <c r="K66" s="104">
        <f t="shared" si="1"/>
        <v>25.065407440495182</v>
      </c>
      <c r="L66" s="105">
        <f t="shared" si="2"/>
        <v>76960.432499999995</v>
      </c>
      <c r="M66" s="105">
        <f t="shared" si="3"/>
        <v>1929044.5974092272</v>
      </c>
      <c r="N66" s="105">
        <f t="shared" si="9"/>
        <v>748083.49487529823</v>
      </c>
      <c r="O66" s="105">
        <v>0</v>
      </c>
      <c r="P66" s="105">
        <f t="shared" si="4"/>
        <v>2677128.0922845253</v>
      </c>
      <c r="Q66" s="105">
        <v>0</v>
      </c>
      <c r="R66" s="105">
        <f t="shared" si="5"/>
        <v>2677128.0922845253</v>
      </c>
      <c r="S66" s="85">
        <v>936674</v>
      </c>
      <c r="T66" s="109">
        <v>249356.96000000002</v>
      </c>
    </row>
    <row r="67" spans="1:20" ht="13.5" customHeight="1" x14ac:dyDescent="0.3">
      <c r="A67" s="101" t="s">
        <v>176</v>
      </c>
      <c r="B67" s="102">
        <v>28001</v>
      </c>
      <c r="C67" s="98">
        <v>323.16000000000003</v>
      </c>
      <c r="D67" s="98">
        <v>0</v>
      </c>
      <c r="E67" s="98">
        <f t="shared" si="6"/>
        <v>323.16000000000003</v>
      </c>
      <c r="F67" s="104">
        <v>3.5</v>
      </c>
      <c r="G67" s="99">
        <f t="shared" si="7"/>
        <v>14</v>
      </c>
      <c r="H67" s="104">
        <f t="shared" si="10"/>
        <v>12.9237</v>
      </c>
      <c r="I67" s="104">
        <f t="shared" si="8"/>
        <v>25.005222962464313</v>
      </c>
      <c r="J67" s="104">
        <f t="shared" si="0"/>
        <v>0.27082027592717256</v>
      </c>
      <c r="K67" s="104">
        <f t="shared" si="1"/>
        <v>25.276043238391484</v>
      </c>
      <c r="L67" s="105">
        <f t="shared" si="2"/>
        <v>76960.432499999995</v>
      </c>
      <c r="M67" s="105">
        <f t="shared" si="3"/>
        <v>1945255.2195153092</v>
      </c>
      <c r="N67" s="105">
        <f t="shared" si="9"/>
        <v>754369.97412803688</v>
      </c>
      <c r="O67" s="105">
        <v>0</v>
      </c>
      <c r="P67" s="105">
        <f t="shared" si="4"/>
        <v>2699625.193643346</v>
      </c>
      <c r="Q67" s="105">
        <v>0</v>
      </c>
      <c r="R67" s="105">
        <f t="shared" si="5"/>
        <v>2699625.193643346</v>
      </c>
      <c r="S67" s="85">
        <v>682170</v>
      </c>
      <c r="T67" s="109">
        <v>117828.75</v>
      </c>
    </row>
    <row r="68" spans="1:20" ht="13.5" customHeight="1" x14ac:dyDescent="0.3">
      <c r="A68" s="101" t="s">
        <v>199</v>
      </c>
      <c r="B68" s="102">
        <v>28002</v>
      </c>
      <c r="C68" s="98">
        <v>262.57</v>
      </c>
      <c r="D68" s="98">
        <v>0</v>
      </c>
      <c r="E68" s="98">
        <f t="shared" si="6"/>
        <v>262.57</v>
      </c>
      <c r="F68" s="104">
        <v>2.25</v>
      </c>
      <c r="G68" s="99">
        <f t="shared" si="7"/>
        <v>9</v>
      </c>
      <c r="H68" s="104">
        <f t="shared" si="10"/>
        <v>12.469275</v>
      </c>
      <c r="I68" s="104">
        <f t="shared" si="8"/>
        <v>21.057358988393471</v>
      </c>
      <c r="J68" s="104">
        <f t="shared" si="0"/>
        <v>0.18044353019722478</v>
      </c>
      <c r="K68" s="104">
        <f t="shared" si="1"/>
        <v>21.237802518590694</v>
      </c>
      <c r="L68" s="105">
        <f t="shared" si="2"/>
        <v>76960.432499999995</v>
      </c>
      <c r="M68" s="105">
        <f t="shared" si="3"/>
        <v>1634470.4671803289</v>
      </c>
      <c r="N68" s="105">
        <f t="shared" si="9"/>
        <v>633847.64717253146</v>
      </c>
      <c r="O68" s="105">
        <v>0</v>
      </c>
      <c r="P68" s="105">
        <f t="shared" si="4"/>
        <v>2268318.1143528605</v>
      </c>
      <c r="Q68" s="105">
        <v>0</v>
      </c>
      <c r="R68" s="105">
        <f t="shared" si="5"/>
        <v>2268318.1143528605</v>
      </c>
      <c r="S68" s="85">
        <v>1279949</v>
      </c>
      <c r="T68" s="109">
        <v>156997.22</v>
      </c>
    </row>
    <row r="69" spans="1:20" ht="13.5" customHeight="1" x14ac:dyDescent="0.3">
      <c r="A69" s="101" t="s">
        <v>214</v>
      </c>
      <c r="B69" s="102">
        <v>28003</v>
      </c>
      <c r="C69" s="98">
        <v>841</v>
      </c>
      <c r="D69" s="98">
        <v>0.1</v>
      </c>
      <c r="E69" s="98">
        <f t="shared" si="6"/>
        <v>841.1</v>
      </c>
      <c r="F69" s="104">
        <v>5.5</v>
      </c>
      <c r="G69" s="99">
        <f t="shared" si="7"/>
        <v>22</v>
      </c>
      <c r="H69" s="104">
        <f t="shared" si="10"/>
        <v>15</v>
      </c>
      <c r="I69" s="104">
        <f t="shared" si="8"/>
        <v>56.073333333333338</v>
      </c>
      <c r="J69" s="104">
        <f t="shared" si="0"/>
        <v>0.36666666666666664</v>
      </c>
      <c r="K69" s="104">
        <f t="shared" si="1"/>
        <v>56.440000000000005</v>
      </c>
      <c r="L69" s="105">
        <f t="shared" si="2"/>
        <v>76960.432499999995</v>
      </c>
      <c r="M69" s="105">
        <f t="shared" si="3"/>
        <v>4343646.8103</v>
      </c>
      <c r="N69" s="105">
        <f t="shared" si="9"/>
        <v>1684466.23303434</v>
      </c>
      <c r="O69" s="105">
        <v>0</v>
      </c>
      <c r="P69" s="105">
        <f t="shared" si="4"/>
        <v>6028113.0433343397</v>
      </c>
      <c r="Q69" s="105">
        <v>0</v>
      </c>
      <c r="R69" s="105">
        <f t="shared" si="5"/>
        <v>6028113.0433343397</v>
      </c>
      <c r="S69" s="85">
        <v>2225044</v>
      </c>
      <c r="T69" s="109">
        <v>325725.32</v>
      </c>
    </row>
    <row r="70" spans="1:20" ht="13.5" customHeight="1" x14ac:dyDescent="0.3">
      <c r="A70" s="101" t="s">
        <v>248</v>
      </c>
      <c r="B70" s="102">
        <v>29004</v>
      </c>
      <c r="C70" s="98">
        <v>470.03</v>
      </c>
      <c r="D70" s="98">
        <v>0</v>
      </c>
      <c r="E70" s="98">
        <f t="shared" si="6"/>
        <v>470.03</v>
      </c>
      <c r="F70" s="104">
        <v>5.25</v>
      </c>
      <c r="G70" s="99">
        <f t="shared" si="7"/>
        <v>21</v>
      </c>
      <c r="H70" s="104">
        <f t="shared" si="10"/>
        <v>14.025224999999999</v>
      </c>
      <c r="I70" s="104">
        <f t="shared" si="8"/>
        <v>33.513187845471286</v>
      </c>
      <c r="J70" s="104">
        <f t="shared" ref="J70:J133" si="11">F70/H70</f>
        <v>0.37432554557948272</v>
      </c>
      <c r="K70" s="104">
        <f t="shared" ref="K70:K133" si="12">I70+J70</f>
        <v>33.887513391050767</v>
      </c>
      <c r="L70" s="105">
        <f t="shared" ref="L70:L133" si="13">$L$4*1.29</f>
        <v>76960.432499999995</v>
      </c>
      <c r="M70" s="105">
        <f t="shared" ref="M70:M133" si="14">K70*L70</f>
        <v>2607997.6869248087</v>
      </c>
      <c r="N70" s="105">
        <f t="shared" si="9"/>
        <v>1011381.5029894407</v>
      </c>
      <c r="O70" s="105">
        <v>0</v>
      </c>
      <c r="P70" s="105">
        <f t="shared" ref="P70:P133" si="15">M70+N70+O70</f>
        <v>3619379.1899142493</v>
      </c>
      <c r="Q70" s="105">
        <v>0</v>
      </c>
      <c r="R70" s="105">
        <f t="shared" ref="R70:R133" si="16">IF(Q70=0,P70,Q70)</f>
        <v>3619379.1899142493</v>
      </c>
      <c r="S70" s="85">
        <v>2305660</v>
      </c>
      <c r="T70" s="109">
        <v>345031.04000000004</v>
      </c>
    </row>
    <row r="71" spans="1:20" ht="13.5" customHeight="1" x14ac:dyDescent="0.3">
      <c r="A71" s="101" t="s">
        <v>215</v>
      </c>
      <c r="B71" s="102">
        <v>30001</v>
      </c>
      <c r="C71" s="98">
        <v>377.25</v>
      </c>
      <c r="D71" s="98">
        <v>0</v>
      </c>
      <c r="E71" s="98">
        <f t="shared" ref="E71:E134" si="17">SUM(C71:D71)</f>
        <v>377.25</v>
      </c>
      <c r="F71" s="104">
        <v>4.5</v>
      </c>
      <c r="G71" s="99">
        <f t="shared" ref="G71:G134" si="18">F71/0.25</f>
        <v>18</v>
      </c>
      <c r="H71" s="104">
        <f t="shared" si="10"/>
        <v>13.329374999999999</v>
      </c>
      <c r="I71" s="104">
        <f t="shared" ref="I71:I134" si="19">(C71+D71)/H71</f>
        <v>28.302152201434804</v>
      </c>
      <c r="J71" s="104">
        <f t="shared" si="11"/>
        <v>0.33760022506681675</v>
      </c>
      <c r="K71" s="104">
        <f t="shared" si="12"/>
        <v>28.639752426501619</v>
      </c>
      <c r="L71" s="105">
        <f t="shared" si="13"/>
        <v>76960.432499999995</v>
      </c>
      <c r="M71" s="105">
        <f t="shared" si="14"/>
        <v>2204127.733436489</v>
      </c>
      <c r="N71" s="105">
        <f t="shared" ref="N71:N134" si="20">M71*0.3878</f>
        <v>854760.73502667039</v>
      </c>
      <c r="O71" s="105">
        <v>0</v>
      </c>
      <c r="P71" s="105">
        <f t="shared" si="15"/>
        <v>3058888.4684631592</v>
      </c>
      <c r="Q71" s="105">
        <v>0</v>
      </c>
      <c r="R71" s="105">
        <f t="shared" si="16"/>
        <v>3058888.4684631592</v>
      </c>
      <c r="S71" s="85">
        <v>900060</v>
      </c>
      <c r="T71" s="109">
        <v>136444.95000000001</v>
      </c>
    </row>
    <row r="72" spans="1:20" ht="13.5" customHeight="1" x14ac:dyDescent="0.3">
      <c r="A72" s="101" t="s">
        <v>376</v>
      </c>
      <c r="B72" s="102">
        <v>30003</v>
      </c>
      <c r="C72" s="98">
        <v>333.1</v>
      </c>
      <c r="D72" s="98">
        <v>0</v>
      </c>
      <c r="E72" s="98">
        <f t="shared" si="17"/>
        <v>333.1</v>
      </c>
      <c r="F72" s="104">
        <v>0.25</v>
      </c>
      <c r="G72" s="99">
        <f t="shared" si="18"/>
        <v>1</v>
      </c>
      <c r="H72" s="104">
        <f t="shared" ref="H72:H135" si="21">IF((C72+D72)&lt;200,12,IF((C72+D72)&gt;600,15,((C72+D72)*0.0075)+10.5))</f>
        <v>12.998250000000001</v>
      </c>
      <c r="I72" s="104">
        <f t="shared" si="19"/>
        <v>25.626526647817975</v>
      </c>
      <c r="J72" s="104">
        <f t="shared" si="11"/>
        <v>1.9233358336699171E-2</v>
      </c>
      <c r="K72" s="104">
        <f t="shared" si="12"/>
        <v>25.645760006154674</v>
      </c>
      <c r="L72" s="105">
        <f t="shared" si="13"/>
        <v>76960.432499999995</v>
      </c>
      <c r="M72" s="105">
        <f t="shared" si="14"/>
        <v>1973708.7818648664</v>
      </c>
      <c r="N72" s="105">
        <f t="shared" si="20"/>
        <v>765404.26560719509</v>
      </c>
      <c r="O72" s="105">
        <v>0</v>
      </c>
      <c r="P72" s="105">
        <f t="shared" si="15"/>
        <v>2739113.0474720616</v>
      </c>
      <c r="Q72" s="105">
        <v>0</v>
      </c>
      <c r="R72" s="105">
        <f t="shared" si="16"/>
        <v>2739113.0474720616</v>
      </c>
      <c r="S72" s="85">
        <v>893734</v>
      </c>
      <c r="T72" s="109">
        <v>121201.68999999999</v>
      </c>
    </row>
    <row r="73" spans="1:20" ht="13.5" customHeight="1" x14ac:dyDescent="0.3">
      <c r="A73" s="101" t="s">
        <v>216</v>
      </c>
      <c r="B73" s="102">
        <v>31001</v>
      </c>
      <c r="C73" s="98">
        <v>221</v>
      </c>
      <c r="D73" s="98">
        <v>0.4</v>
      </c>
      <c r="E73" s="98">
        <f t="shared" si="17"/>
        <v>221.4</v>
      </c>
      <c r="F73" s="104">
        <v>0</v>
      </c>
      <c r="G73" s="99">
        <f t="shared" si="18"/>
        <v>0</v>
      </c>
      <c r="H73" s="104">
        <f t="shared" si="21"/>
        <v>12.160500000000001</v>
      </c>
      <c r="I73" s="104">
        <f t="shared" si="19"/>
        <v>18.206488220056741</v>
      </c>
      <c r="J73" s="104">
        <f t="shared" si="11"/>
        <v>0</v>
      </c>
      <c r="K73" s="104">
        <f t="shared" si="12"/>
        <v>18.206488220056741</v>
      </c>
      <c r="L73" s="105">
        <f t="shared" si="13"/>
        <v>76960.432499999995</v>
      </c>
      <c r="M73" s="105">
        <f t="shared" si="14"/>
        <v>1401179.2077217218</v>
      </c>
      <c r="N73" s="105">
        <f t="shared" si="20"/>
        <v>543377.29675448372</v>
      </c>
      <c r="O73" s="105">
        <v>0</v>
      </c>
      <c r="P73" s="105">
        <f t="shared" si="15"/>
        <v>1944556.5044762054</v>
      </c>
      <c r="Q73" s="105">
        <v>0</v>
      </c>
      <c r="R73" s="105">
        <f t="shared" si="16"/>
        <v>1944556.5044762054</v>
      </c>
      <c r="S73" s="85">
        <v>874999</v>
      </c>
      <c r="T73" s="109">
        <v>220968.69</v>
      </c>
    </row>
    <row r="74" spans="1:20" ht="13.5" customHeight="1" x14ac:dyDescent="0.3">
      <c r="A74" s="101" t="s">
        <v>261</v>
      </c>
      <c r="B74" s="102">
        <v>32002</v>
      </c>
      <c r="C74" s="98">
        <v>2699.13</v>
      </c>
      <c r="D74" s="98">
        <v>0.1</v>
      </c>
      <c r="E74" s="98">
        <f t="shared" si="17"/>
        <v>2699.23</v>
      </c>
      <c r="F74" s="104">
        <v>4.25</v>
      </c>
      <c r="G74" s="99">
        <f t="shared" si="18"/>
        <v>17</v>
      </c>
      <c r="H74" s="104">
        <f t="shared" si="21"/>
        <v>15</v>
      </c>
      <c r="I74" s="104">
        <f t="shared" si="19"/>
        <v>179.94866666666667</v>
      </c>
      <c r="J74" s="104">
        <f t="shared" si="11"/>
        <v>0.28333333333333333</v>
      </c>
      <c r="K74" s="104">
        <f t="shared" si="12"/>
        <v>180.232</v>
      </c>
      <c r="L74" s="105">
        <f t="shared" si="13"/>
        <v>76960.432499999995</v>
      </c>
      <c r="M74" s="105">
        <f t="shared" si="14"/>
        <v>13870732.67034</v>
      </c>
      <c r="N74" s="105">
        <f t="shared" si="20"/>
        <v>5379070.1295578517</v>
      </c>
      <c r="O74" s="105">
        <v>12233</v>
      </c>
      <c r="P74" s="105">
        <f t="shared" si="15"/>
        <v>19262035.79989785</v>
      </c>
      <c r="Q74" s="105">
        <v>0</v>
      </c>
      <c r="R74" s="105">
        <f t="shared" si="16"/>
        <v>19262035.79989785</v>
      </c>
      <c r="S74" s="85">
        <v>6647405</v>
      </c>
      <c r="T74" s="109">
        <v>1185828.1099999999</v>
      </c>
    </row>
    <row r="75" spans="1:20" ht="13.5" customHeight="1" x14ac:dyDescent="0.3">
      <c r="A75" s="101" t="s">
        <v>207</v>
      </c>
      <c r="B75" s="102">
        <v>33001</v>
      </c>
      <c r="C75" s="98">
        <v>421.49</v>
      </c>
      <c r="D75" s="98">
        <v>0.1</v>
      </c>
      <c r="E75" s="98">
        <f t="shared" si="17"/>
        <v>421.59000000000003</v>
      </c>
      <c r="F75" s="104">
        <v>10.75</v>
      </c>
      <c r="G75" s="99">
        <f t="shared" si="18"/>
        <v>43</v>
      </c>
      <c r="H75" s="104">
        <f t="shared" si="21"/>
        <v>13.661925</v>
      </c>
      <c r="I75" s="104">
        <f t="shared" si="19"/>
        <v>30.858755263259024</v>
      </c>
      <c r="J75" s="104">
        <f t="shared" si="11"/>
        <v>0.78685836732378489</v>
      </c>
      <c r="K75" s="104">
        <f t="shared" si="12"/>
        <v>31.645613630582808</v>
      </c>
      <c r="L75" s="105">
        <f t="shared" si="13"/>
        <v>76960.432499999995</v>
      </c>
      <c r="M75" s="105">
        <f t="shared" si="14"/>
        <v>2435460.1117375479</v>
      </c>
      <c r="N75" s="105">
        <f t="shared" si="20"/>
        <v>944471.43133182102</v>
      </c>
      <c r="O75" s="105">
        <v>0</v>
      </c>
      <c r="P75" s="105">
        <f t="shared" si="15"/>
        <v>3379931.5430693692</v>
      </c>
      <c r="Q75" s="105">
        <v>0</v>
      </c>
      <c r="R75" s="105">
        <f t="shared" si="16"/>
        <v>3379931.5430693692</v>
      </c>
      <c r="S75" s="85">
        <v>1125585</v>
      </c>
      <c r="T75" s="109">
        <v>216865.84</v>
      </c>
    </row>
    <row r="76" spans="1:20" ht="13.5" customHeight="1" x14ac:dyDescent="0.3">
      <c r="A76" s="101" t="s">
        <v>246</v>
      </c>
      <c r="B76" s="102">
        <v>33002</v>
      </c>
      <c r="C76" s="98">
        <v>251</v>
      </c>
      <c r="D76" s="98">
        <v>0</v>
      </c>
      <c r="E76" s="98">
        <f t="shared" si="17"/>
        <v>251</v>
      </c>
      <c r="F76" s="104">
        <v>7.25</v>
      </c>
      <c r="G76" s="99">
        <f t="shared" si="18"/>
        <v>29</v>
      </c>
      <c r="H76" s="104">
        <f t="shared" si="21"/>
        <v>12.3825</v>
      </c>
      <c r="I76" s="104">
        <f t="shared" si="19"/>
        <v>20.270543105188775</v>
      </c>
      <c r="J76" s="104">
        <f t="shared" si="11"/>
        <v>0.58550373511003428</v>
      </c>
      <c r="K76" s="104">
        <f t="shared" si="12"/>
        <v>20.856046840298809</v>
      </c>
      <c r="L76" s="105">
        <f t="shared" si="13"/>
        <v>76960.432499999995</v>
      </c>
      <c r="M76" s="105">
        <f t="shared" si="14"/>
        <v>1605090.3850696548</v>
      </c>
      <c r="N76" s="105">
        <f t="shared" si="20"/>
        <v>622454.05133001204</v>
      </c>
      <c r="O76" s="105">
        <v>0</v>
      </c>
      <c r="P76" s="105">
        <f t="shared" si="15"/>
        <v>2227544.4363996666</v>
      </c>
      <c r="Q76" s="105">
        <v>0</v>
      </c>
      <c r="R76" s="105">
        <f t="shared" si="16"/>
        <v>2227544.4363996666</v>
      </c>
      <c r="S76" s="85">
        <v>691134</v>
      </c>
      <c r="T76" s="109">
        <v>455785.04000000004</v>
      </c>
    </row>
    <row r="77" spans="1:20" ht="13.5" customHeight="1" x14ac:dyDescent="0.3">
      <c r="A77" s="101" t="s">
        <v>260</v>
      </c>
      <c r="B77" s="102">
        <v>33003</v>
      </c>
      <c r="C77" s="98">
        <v>543.1</v>
      </c>
      <c r="D77" s="98">
        <v>0</v>
      </c>
      <c r="E77" s="98">
        <f t="shared" si="17"/>
        <v>543.1</v>
      </c>
      <c r="F77" s="104">
        <v>3</v>
      </c>
      <c r="G77" s="99">
        <f t="shared" si="18"/>
        <v>12</v>
      </c>
      <c r="H77" s="104">
        <f>(((C77+D77-24.18))*0.0075)+10.5</f>
        <v>14.3919</v>
      </c>
      <c r="I77" s="104">
        <f t="shared" si="19"/>
        <v>37.736504561593676</v>
      </c>
      <c r="J77" s="104">
        <f t="shared" si="11"/>
        <v>0.20845058678840181</v>
      </c>
      <c r="K77" s="104">
        <f t="shared" si="12"/>
        <v>37.944955148382078</v>
      </c>
      <c r="L77" s="105">
        <f t="shared" si="13"/>
        <v>76960.432499999995</v>
      </c>
      <c r="M77" s="105">
        <f t="shared" si="14"/>
        <v>2920260.1594125861</v>
      </c>
      <c r="N77" s="105">
        <f t="shared" si="20"/>
        <v>1132476.8898202009</v>
      </c>
      <c r="O77" s="105">
        <v>0</v>
      </c>
      <c r="P77" s="105">
        <f t="shared" si="15"/>
        <v>4052737.049232787</v>
      </c>
      <c r="Q77" s="105">
        <v>0</v>
      </c>
      <c r="R77" s="105">
        <f t="shared" si="16"/>
        <v>4052737.049232787</v>
      </c>
      <c r="S77" s="85">
        <v>1185674</v>
      </c>
      <c r="T77" s="109">
        <v>218140.12000000002</v>
      </c>
    </row>
    <row r="78" spans="1:20" ht="13.5" customHeight="1" x14ac:dyDescent="0.3">
      <c r="A78" s="101" t="s">
        <v>282</v>
      </c>
      <c r="B78" s="102">
        <v>33005</v>
      </c>
      <c r="C78" s="98">
        <v>146</v>
      </c>
      <c r="D78" s="98">
        <v>0</v>
      </c>
      <c r="E78" s="98">
        <f t="shared" si="17"/>
        <v>146</v>
      </c>
      <c r="F78" s="104">
        <v>3.25</v>
      </c>
      <c r="G78" s="99">
        <f t="shared" si="18"/>
        <v>13</v>
      </c>
      <c r="H78" s="104">
        <f t="shared" si="21"/>
        <v>12</v>
      </c>
      <c r="I78" s="104">
        <f t="shared" si="19"/>
        <v>12.166666666666666</v>
      </c>
      <c r="J78" s="104">
        <f t="shared" si="11"/>
        <v>0.27083333333333331</v>
      </c>
      <c r="K78" s="104">
        <f t="shared" si="12"/>
        <v>12.4375</v>
      </c>
      <c r="L78" s="105">
        <f t="shared" si="13"/>
        <v>76960.432499999995</v>
      </c>
      <c r="M78" s="105">
        <f t="shared" si="14"/>
        <v>957195.37921874993</v>
      </c>
      <c r="N78" s="105">
        <f t="shared" si="20"/>
        <v>371200.36806103121</v>
      </c>
      <c r="O78" s="105">
        <v>0</v>
      </c>
      <c r="P78" s="105">
        <f t="shared" si="15"/>
        <v>1328395.7472797811</v>
      </c>
      <c r="Q78" s="105">
        <v>0</v>
      </c>
      <c r="R78" s="105">
        <f t="shared" si="16"/>
        <v>1328395.7472797811</v>
      </c>
      <c r="S78" s="85">
        <v>719594</v>
      </c>
      <c r="T78" s="109">
        <v>244070.88</v>
      </c>
    </row>
    <row r="79" spans="1:20" ht="13.5" customHeight="1" x14ac:dyDescent="0.3">
      <c r="A79" s="101" t="s">
        <v>220</v>
      </c>
      <c r="B79" s="102">
        <v>34002</v>
      </c>
      <c r="C79" s="98">
        <v>231.2</v>
      </c>
      <c r="D79" s="98">
        <v>0</v>
      </c>
      <c r="E79" s="98">
        <f t="shared" si="17"/>
        <v>231.2</v>
      </c>
      <c r="F79" s="104">
        <v>0</v>
      </c>
      <c r="G79" s="99">
        <f t="shared" si="18"/>
        <v>0</v>
      </c>
      <c r="H79" s="104">
        <f t="shared" si="21"/>
        <v>12.234</v>
      </c>
      <c r="I79" s="104">
        <f t="shared" si="19"/>
        <v>18.898152689226745</v>
      </c>
      <c r="J79" s="104">
        <f t="shared" si="11"/>
        <v>0</v>
      </c>
      <c r="K79" s="104">
        <f t="shared" si="12"/>
        <v>18.898152689226745</v>
      </c>
      <c r="L79" s="105">
        <f t="shared" si="13"/>
        <v>76960.432499999995</v>
      </c>
      <c r="M79" s="105">
        <f t="shared" si="14"/>
        <v>1454410.0044139284</v>
      </c>
      <c r="N79" s="105">
        <f t="shared" si="20"/>
        <v>564020.19971172139</v>
      </c>
      <c r="O79" s="105">
        <v>0</v>
      </c>
      <c r="P79" s="105">
        <f t="shared" si="15"/>
        <v>2018430.2041256498</v>
      </c>
      <c r="Q79" s="105">
        <v>0</v>
      </c>
      <c r="R79" s="105">
        <f t="shared" si="16"/>
        <v>2018430.2041256498</v>
      </c>
      <c r="S79" s="85">
        <v>1371201</v>
      </c>
      <c r="T79" s="109">
        <v>197352.76</v>
      </c>
    </row>
    <row r="80" spans="1:20" ht="13.5" customHeight="1" x14ac:dyDescent="0.3">
      <c r="A80" s="101" t="s">
        <v>231</v>
      </c>
      <c r="B80" s="102">
        <v>35002</v>
      </c>
      <c r="C80" s="98">
        <v>293</v>
      </c>
      <c r="D80" s="98">
        <v>0.30000000000000004</v>
      </c>
      <c r="E80" s="98">
        <f t="shared" si="17"/>
        <v>293.3</v>
      </c>
      <c r="F80" s="104">
        <v>0</v>
      </c>
      <c r="G80" s="99">
        <f t="shared" si="18"/>
        <v>0</v>
      </c>
      <c r="H80" s="104">
        <f t="shared" si="21"/>
        <v>12.69975</v>
      </c>
      <c r="I80" s="104">
        <f t="shared" si="19"/>
        <v>23.094942813834919</v>
      </c>
      <c r="J80" s="104">
        <f t="shared" si="11"/>
        <v>0</v>
      </c>
      <c r="K80" s="104">
        <f t="shared" si="12"/>
        <v>23.094942813834919</v>
      </c>
      <c r="L80" s="105">
        <f t="shared" si="13"/>
        <v>76960.432499999995</v>
      </c>
      <c r="M80" s="105">
        <f t="shared" si="14"/>
        <v>1777396.7875155022</v>
      </c>
      <c r="N80" s="105">
        <f t="shared" si="20"/>
        <v>689274.47419851169</v>
      </c>
      <c r="O80" s="105">
        <v>0</v>
      </c>
      <c r="P80" s="105">
        <f t="shared" si="15"/>
        <v>2466671.2617140138</v>
      </c>
      <c r="Q80" s="105">
        <v>0</v>
      </c>
      <c r="R80" s="105">
        <f t="shared" si="16"/>
        <v>2466671.2617140138</v>
      </c>
      <c r="S80" s="85">
        <v>676653</v>
      </c>
      <c r="T80" s="109">
        <v>238168.65000000002</v>
      </c>
    </row>
    <row r="81" spans="1:20" ht="13.5" customHeight="1" x14ac:dyDescent="0.3">
      <c r="A81" s="101" t="s">
        <v>293</v>
      </c>
      <c r="B81" s="102">
        <v>36002</v>
      </c>
      <c r="C81" s="98">
        <v>413.6</v>
      </c>
      <c r="D81" s="98">
        <v>0</v>
      </c>
      <c r="E81" s="98">
        <f t="shared" si="17"/>
        <v>413.6</v>
      </c>
      <c r="F81" s="104">
        <v>3</v>
      </c>
      <c r="G81" s="99">
        <f t="shared" si="18"/>
        <v>12</v>
      </c>
      <c r="H81" s="104">
        <f t="shared" si="21"/>
        <v>13.602</v>
      </c>
      <c r="I81" s="104">
        <f t="shared" si="19"/>
        <v>30.40729304514042</v>
      </c>
      <c r="J81" s="104">
        <f t="shared" si="11"/>
        <v>0.22055580061755622</v>
      </c>
      <c r="K81" s="104">
        <f t="shared" si="12"/>
        <v>30.627848845757978</v>
      </c>
      <c r="L81" s="105">
        <f t="shared" si="13"/>
        <v>76960.432499999995</v>
      </c>
      <c r="M81" s="105">
        <f t="shared" si="14"/>
        <v>2357132.4937141598</v>
      </c>
      <c r="N81" s="105">
        <f t="shared" si="20"/>
        <v>914095.98106235114</v>
      </c>
      <c r="O81" s="105">
        <v>0</v>
      </c>
      <c r="P81" s="105">
        <f t="shared" si="15"/>
        <v>3271228.4747765111</v>
      </c>
      <c r="Q81" s="105">
        <v>0</v>
      </c>
      <c r="R81" s="105">
        <f t="shared" si="16"/>
        <v>3271228.4747765111</v>
      </c>
      <c r="S81" s="85">
        <v>1193864</v>
      </c>
      <c r="T81" s="109">
        <v>319223.88999999996</v>
      </c>
    </row>
    <row r="82" spans="1:20" ht="13.5" customHeight="1" x14ac:dyDescent="0.3">
      <c r="A82" s="101" t="s">
        <v>230</v>
      </c>
      <c r="B82" s="102">
        <v>37003</v>
      </c>
      <c r="C82" s="98">
        <v>184</v>
      </c>
      <c r="D82" s="98">
        <v>0</v>
      </c>
      <c r="E82" s="98">
        <f t="shared" si="17"/>
        <v>184</v>
      </c>
      <c r="F82" s="104">
        <v>0</v>
      </c>
      <c r="G82" s="99">
        <f t="shared" si="18"/>
        <v>0</v>
      </c>
      <c r="H82" s="104">
        <f t="shared" si="21"/>
        <v>12</v>
      </c>
      <c r="I82" s="104">
        <f t="shared" si="19"/>
        <v>15.333333333333334</v>
      </c>
      <c r="J82" s="104">
        <f t="shared" si="11"/>
        <v>0</v>
      </c>
      <c r="K82" s="104">
        <f t="shared" si="12"/>
        <v>15.333333333333334</v>
      </c>
      <c r="L82" s="105">
        <f t="shared" si="13"/>
        <v>76960.432499999995</v>
      </c>
      <c r="M82" s="105">
        <f t="shared" si="14"/>
        <v>1180059.9650000001</v>
      </c>
      <c r="N82" s="105">
        <f t="shared" si="20"/>
        <v>457627.25442700001</v>
      </c>
      <c r="O82" s="105">
        <v>0</v>
      </c>
      <c r="P82" s="105">
        <f t="shared" si="15"/>
        <v>1637687.219427</v>
      </c>
      <c r="Q82" s="105">
        <v>0</v>
      </c>
      <c r="R82" s="105">
        <f t="shared" si="16"/>
        <v>1637687.219427</v>
      </c>
      <c r="S82" s="85">
        <v>590913</v>
      </c>
      <c r="T82" s="109">
        <v>158115.38999999998</v>
      </c>
    </row>
    <row r="83" spans="1:20" ht="13.5" customHeight="1" x14ac:dyDescent="0.3">
      <c r="A83" s="101" t="s">
        <v>158</v>
      </c>
      <c r="B83" s="102">
        <v>38001</v>
      </c>
      <c r="C83" s="98">
        <v>292.43</v>
      </c>
      <c r="D83" s="98">
        <v>0</v>
      </c>
      <c r="E83" s="98">
        <f t="shared" si="17"/>
        <v>292.43</v>
      </c>
      <c r="F83" s="104">
        <v>0.75</v>
      </c>
      <c r="G83" s="99">
        <f t="shared" si="18"/>
        <v>3</v>
      </c>
      <c r="H83" s="104">
        <f t="shared" si="21"/>
        <v>12.693225</v>
      </c>
      <c r="I83" s="104">
        <f t="shared" si="19"/>
        <v>23.0382743550201</v>
      </c>
      <c r="J83" s="104">
        <f t="shared" si="11"/>
        <v>5.9086638738382088E-2</v>
      </c>
      <c r="K83" s="104">
        <f t="shared" si="12"/>
        <v>23.097360993758482</v>
      </c>
      <c r="L83" s="105">
        <f t="shared" si="13"/>
        <v>76960.432499999995</v>
      </c>
      <c r="M83" s="105">
        <f t="shared" si="14"/>
        <v>1777582.8916882824</v>
      </c>
      <c r="N83" s="105">
        <f t="shared" si="20"/>
        <v>689346.64539671584</v>
      </c>
      <c r="O83" s="105">
        <v>0</v>
      </c>
      <c r="P83" s="105">
        <f t="shared" si="15"/>
        <v>2466929.5370849981</v>
      </c>
      <c r="Q83" s="105">
        <v>0</v>
      </c>
      <c r="R83" s="105">
        <f t="shared" si="16"/>
        <v>2466929.5370849981</v>
      </c>
      <c r="S83" s="85">
        <v>1132365</v>
      </c>
      <c r="T83" s="109">
        <v>120510.95999999999</v>
      </c>
    </row>
    <row r="84" spans="1:20" ht="13.5" customHeight="1" x14ac:dyDescent="0.3">
      <c r="A84" s="101" t="s">
        <v>186</v>
      </c>
      <c r="B84" s="102">
        <v>38002</v>
      </c>
      <c r="C84" s="98">
        <v>337</v>
      </c>
      <c r="D84" s="98">
        <v>0</v>
      </c>
      <c r="E84" s="98">
        <f t="shared" si="17"/>
        <v>337</v>
      </c>
      <c r="F84" s="104">
        <v>0.75</v>
      </c>
      <c r="G84" s="99">
        <f t="shared" si="18"/>
        <v>3</v>
      </c>
      <c r="H84" s="104">
        <f t="shared" si="21"/>
        <v>13.0275</v>
      </c>
      <c r="I84" s="104">
        <f t="shared" si="19"/>
        <v>25.868355402034158</v>
      </c>
      <c r="J84" s="104">
        <f t="shared" si="11"/>
        <v>5.7570523891767415E-2</v>
      </c>
      <c r="K84" s="104">
        <f t="shared" si="12"/>
        <v>25.925925925925924</v>
      </c>
      <c r="L84" s="105">
        <f t="shared" si="13"/>
        <v>76960.432499999995</v>
      </c>
      <c r="M84" s="105">
        <f t="shared" si="14"/>
        <v>1995270.472222222</v>
      </c>
      <c r="N84" s="105">
        <f t="shared" si="20"/>
        <v>773765.88912777766</v>
      </c>
      <c r="O84" s="105">
        <v>0</v>
      </c>
      <c r="P84" s="105">
        <f t="shared" si="15"/>
        <v>2769036.3613499999</v>
      </c>
      <c r="Q84" s="105">
        <v>0</v>
      </c>
      <c r="R84" s="105">
        <f t="shared" si="16"/>
        <v>2769036.3613499999</v>
      </c>
      <c r="S84" s="85">
        <v>1198600</v>
      </c>
      <c r="T84" s="109">
        <v>98151</v>
      </c>
    </row>
    <row r="85" spans="1:20" ht="13.5" customHeight="1" x14ac:dyDescent="0.3">
      <c r="A85" s="101" t="s">
        <v>233</v>
      </c>
      <c r="B85" s="102">
        <v>38003</v>
      </c>
      <c r="C85" s="98">
        <v>175</v>
      </c>
      <c r="D85" s="98">
        <v>0</v>
      </c>
      <c r="E85" s="98">
        <f t="shared" si="17"/>
        <v>175</v>
      </c>
      <c r="F85" s="104">
        <v>0.5</v>
      </c>
      <c r="G85" s="99">
        <f t="shared" si="18"/>
        <v>2</v>
      </c>
      <c r="H85" s="104">
        <f t="shared" si="21"/>
        <v>12</v>
      </c>
      <c r="I85" s="104">
        <f t="shared" si="19"/>
        <v>14.583333333333334</v>
      </c>
      <c r="J85" s="104">
        <f t="shared" si="11"/>
        <v>4.1666666666666664E-2</v>
      </c>
      <c r="K85" s="104">
        <f t="shared" si="12"/>
        <v>14.625</v>
      </c>
      <c r="L85" s="105">
        <f t="shared" si="13"/>
        <v>76960.432499999995</v>
      </c>
      <c r="M85" s="105">
        <f t="shared" si="14"/>
        <v>1125546.3253124999</v>
      </c>
      <c r="N85" s="105">
        <f t="shared" si="20"/>
        <v>436486.86495618743</v>
      </c>
      <c r="O85" s="105">
        <v>0</v>
      </c>
      <c r="P85" s="105">
        <f t="shared" si="15"/>
        <v>1562033.1902686874</v>
      </c>
      <c r="Q85" s="105">
        <v>0</v>
      </c>
      <c r="R85" s="105">
        <f t="shared" si="16"/>
        <v>1562033.1902686874</v>
      </c>
      <c r="S85" s="85">
        <v>785322</v>
      </c>
      <c r="T85" s="109">
        <v>66874.12</v>
      </c>
    </row>
    <row r="86" spans="1:20" ht="13.5" customHeight="1" x14ac:dyDescent="0.3">
      <c r="A86" s="101" t="s">
        <v>309</v>
      </c>
      <c r="B86" s="102">
        <v>39001</v>
      </c>
      <c r="C86" s="98">
        <v>512</v>
      </c>
      <c r="D86" s="98">
        <v>0</v>
      </c>
      <c r="E86" s="98">
        <f t="shared" si="17"/>
        <v>512</v>
      </c>
      <c r="F86" s="104">
        <v>6</v>
      </c>
      <c r="G86" s="99">
        <f t="shared" si="18"/>
        <v>24</v>
      </c>
      <c r="H86" s="104">
        <f t="shared" si="21"/>
        <v>14.34</v>
      </c>
      <c r="I86" s="104">
        <f t="shared" si="19"/>
        <v>35.704323570432358</v>
      </c>
      <c r="J86" s="104">
        <f t="shared" si="11"/>
        <v>0.41841004184100417</v>
      </c>
      <c r="K86" s="104">
        <f t="shared" si="12"/>
        <v>36.122733612273365</v>
      </c>
      <c r="L86" s="105">
        <f t="shared" si="13"/>
        <v>76960.432499999995</v>
      </c>
      <c r="M86" s="105">
        <f t="shared" si="14"/>
        <v>2780021.2018828453</v>
      </c>
      <c r="N86" s="105">
        <f t="shared" si="20"/>
        <v>1078092.2220901672</v>
      </c>
      <c r="O86" s="105">
        <v>0</v>
      </c>
      <c r="P86" s="105">
        <f t="shared" si="15"/>
        <v>3858113.4239730127</v>
      </c>
      <c r="Q86" s="105">
        <v>0</v>
      </c>
      <c r="R86" s="105">
        <f t="shared" si="16"/>
        <v>3858113.4239730127</v>
      </c>
      <c r="S86" s="85">
        <v>1516851</v>
      </c>
      <c r="T86" s="109">
        <v>309241.98</v>
      </c>
    </row>
    <row r="87" spans="1:20" ht="13.5" customHeight="1" x14ac:dyDescent="0.3">
      <c r="A87" s="101" t="s">
        <v>240</v>
      </c>
      <c r="B87" s="102">
        <v>39002</v>
      </c>
      <c r="C87" s="98">
        <v>1194.97</v>
      </c>
      <c r="D87" s="98">
        <v>0</v>
      </c>
      <c r="E87" s="98">
        <f t="shared" si="17"/>
        <v>1194.97</v>
      </c>
      <c r="F87" s="104">
        <v>9.75</v>
      </c>
      <c r="G87" s="99">
        <f t="shared" si="18"/>
        <v>39</v>
      </c>
      <c r="H87" s="104">
        <f t="shared" si="21"/>
        <v>15</v>
      </c>
      <c r="I87" s="104">
        <f t="shared" si="19"/>
        <v>79.664666666666662</v>
      </c>
      <c r="J87" s="104">
        <f t="shared" si="11"/>
        <v>0.65</v>
      </c>
      <c r="K87" s="104">
        <f t="shared" si="12"/>
        <v>80.314666666666668</v>
      </c>
      <c r="L87" s="105">
        <f t="shared" si="13"/>
        <v>76960.432499999995</v>
      </c>
      <c r="M87" s="105">
        <f t="shared" si="14"/>
        <v>6181051.48276</v>
      </c>
      <c r="N87" s="105">
        <f t="shared" si="20"/>
        <v>2397011.7650143281</v>
      </c>
      <c r="O87" s="105">
        <v>0</v>
      </c>
      <c r="P87" s="105">
        <f t="shared" si="15"/>
        <v>8578063.247774329</v>
      </c>
      <c r="Q87" s="105">
        <v>0</v>
      </c>
      <c r="R87" s="105">
        <f t="shared" si="16"/>
        <v>8578063.247774329</v>
      </c>
      <c r="S87" s="85">
        <v>4349864</v>
      </c>
      <c r="T87" s="109">
        <v>309214.99</v>
      </c>
    </row>
    <row r="88" spans="1:20" ht="13.5" customHeight="1" x14ac:dyDescent="0.3">
      <c r="A88" s="101" t="s">
        <v>444</v>
      </c>
      <c r="B88" s="102">
        <v>39006</v>
      </c>
      <c r="C88" s="98">
        <v>312</v>
      </c>
      <c r="D88" s="98">
        <v>0</v>
      </c>
      <c r="E88" s="98">
        <f t="shared" si="17"/>
        <v>312</v>
      </c>
      <c r="F88" s="98">
        <v>7.75</v>
      </c>
      <c r="G88" s="99">
        <f t="shared" si="18"/>
        <v>31</v>
      </c>
      <c r="H88" s="104">
        <f t="shared" si="21"/>
        <v>12.84</v>
      </c>
      <c r="I88" s="104">
        <f t="shared" si="19"/>
        <v>24.299065420560748</v>
      </c>
      <c r="J88" s="104">
        <f t="shared" si="11"/>
        <v>0.60358255451713394</v>
      </c>
      <c r="K88" s="104">
        <f t="shared" si="12"/>
        <v>24.902647975077883</v>
      </c>
      <c r="L88" s="105">
        <f t="shared" si="13"/>
        <v>76960.432499999995</v>
      </c>
      <c r="M88" s="105">
        <f t="shared" si="14"/>
        <v>1916518.5585572431</v>
      </c>
      <c r="N88" s="105">
        <f t="shared" si="20"/>
        <v>743225.89700849878</v>
      </c>
      <c r="O88" s="105">
        <v>0</v>
      </c>
      <c r="P88" s="105">
        <f t="shared" si="15"/>
        <v>2659744.4555657418</v>
      </c>
      <c r="Q88" s="105">
        <v>0</v>
      </c>
      <c r="R88" s="105">
        <f t="shared" si="16"/>
        <v>2659744.4555657418</v>
      </c>
      <c r="S88" s="85">
        <v>913221</v>
      </c>
      <c r="T88" s="109">
        <v>116706.53</v>
      </c>
    </row>
    <row r="89" spans="1:20" ht="13.5" customHeight="1" x14ac:dyDescent="0.3">
      <c r="A89" s="101" t="s">
        <v>235</v>
      </c>
      <c r="B89" s="102">
        <v>40001</v>
      </c>
      <c r="C89" s="98">
        <v>658.06</v>
      </c>
      <c r="D89" s="98">
        <v>0</v>
      </c>
      <c r="E89" s="98">
        <f t="shared" si="17"/>
        <v>658.06</v>
      </c>
      <c r="F89" s="104">
        <v>0.75</v>
      </c>
      <c r="G89" s="99">
        <f t="shared" si="18"/>
        <v>3</v>
      </c>
      <c r="H89" s="104">
        <f t="shared" si="21"/>
        <v>15</v>
      </c>
      <c r="I89" s="104">
        <f t="shared" si="19"/>
        <v>43.870666666666665</v>
      </c>
      <c r="J89" s="104">
        <f t="shared" si="11"/>
        <v>0.05</v>
      </c>
      <c r="K89" s="104">
        <f t="shared" si="12"/>
        <v>43.920666666666662</v>
      </c>
      <c r="L89" s="105">
        <f t="shared" si="13"/>
        <v>76960.432499999995</v>
      </c>
      <c r="M89" s="105">
        <f t="shared" si="14"/>
        <v>3380153.5023549995</v>
      </c>
      <c r="N89" s="105">
        <f t="shared" si="20"/>
        <v>1310823.5282132688</v>
      </c>
      <c r="O89" s="105">
        <v>0</v>
      </c>
      <c r="P89" s="105">
        <f t="shared" si="15"/>
        <v>4690977.0305682682</v>
      </c>
      <c r="Q89" s="105">
        <v>0</v>
      </c>
      <c r="R89" s="105">
        <f t="shared" si="16"/>
        <v>4690977.0305682682</v>
      </c>
      <c r="S89" s="85">
        <v>7874543</v>
      </c>
      <c r="T89" s="109">
        <v>308489.23</v>
      </c>
    </row>
    <row r="90" spans="1:20" ht="13.5" customHeight="1" x14ac:dyDescent="0.3">
      <c r="A90" s="101" t="s">
        <v>276</v>
      </c>
      <c r="B90" s="102">
        <v>40002</v>
      </c>
      <c r="C90" s="98">
        <v>2403.7399999999998</v>
      </c>
      <c r="D90" s="98">
        <v>0.30000000000000004</v>
      </c>
      <c r="E90" s="98">
        <f t="shared" si="17"/>
        <v>2404.04</v>
      </c>
      <c r="F90" s="104">
        <v>2.5</v>
      </c>
      <c r="G90" s="99">
        <f t="shared" si="18"/>
        <v>10</v>
      </c>
      <c r="H90" s="104">
        <f t="shared" si="21"/>
        <v>15</v>
      </c>
      <c r="I90" s="104">
        <f t="shared" si="19"/>
        <v>160.26933333333332</v>
      </c>
      <c r="J90" s="104">
        <f t="shared" si="11"/>
        <v>0.16666666666666666</v>
      </c>
      <c r="K90" s="104">
        <f t="shared" si="12"/>
        <v>160.43599999999998</v>
      </c>
      <c r="L90" s="105">
        <f t="shared" si="13"/>
        <v>76960.432499999995</v>
      </c>
      <c r="M90" s="105">
        <f t="shared" si="14"/>
        <v>12347223.948569998</v>
      </c>
      <c r="N90" s="105">
        <f t="shared" si="20"/>
        <v>4788253.4472554447</v>
      </c>
      <c r="O90" s="105">
        <v>0</v>
      </c>
      <c r="P90" s="105">
        <f t="shared" si="15"/>
        <v>17135477.395825442</v>
      </c>
      <c r="Q90" s="105">
        <v>0</v>
      </c>
      <c r="R90" s="105">
        <f t="shared" si="16"/>
        <v>17135477.395825442</v>
      </c>
      <c r="S90" s="85">
        <v>9060095</v>
      </c>
      <c r="T90" s="109">
        <v>725883.62000000011</v>
      </c>
    </row>
    <row r="91" spans="1:20" ht="13.5" customHeight="1" x14ac:dyDescent="0.3">
      <c r="A91" s="101" t="s">
        <v>175</v>
      </c>
      <c r="B91" s="102">
        <v>41001</v>
      </c>
      <c r="C91" s="98">
        <v>886.88</v>
      </c>
      <c r="D91" s="98">
        <v>0</v>
      </c>
      <c r="E91" s="98">
        <f t="shared" si="17"/>
        <v>886.88</v>
      </c>
      <c r="F91" s="104">
        <v>0.5</v>
      </c>
      <c r="G91" s="99">
        <f t="shared" si="18"/>
        <v>2</v>
      </c>
      <c r="H91" s="104">
        <f t="shared" si="21"/>
        <v>15</v>
      </c>
      <c r="I91" s="104">
        <f t="shared" si="19"/>
        <v>59.12533333333333</v>
      </c>
      <c r="J91" s="104">
        <f t="shared" si="11"/>
        <v>3.3333333333333333E-2</v>
      </c>
      <c r="K91" s="104">
        <f t="shared" si="12"/>
        <v>59.158666666666662</v>
      </c>
      <c r="L91" s="105">
        <f t="shared" si="13"/>
        <v>76960.432499999995</v>
      </c>
      <c r="M91" s="105">
        <f t="shared" si="14"/>
        <v>4552876.5727899997</v>
      </c>
      <c r="N91" s="105">
        <f t="shared" si="20"/>
        <v>1765605.5349279619</v>
      </c>
      <c r="O91" s="105">
        <v>0</v>
      </c>
      <c r="P91" s="105">
        <f t="shared" si="15"/>
        <v>6318482.1077179611</v>
      </c>
      <c r="Q91" s="105">
        <v>0</v>
      </c>
      <c r="R91" s="105">
        <f t="shared" si="16"/>
        <v>6318482.1077179611</v>
      </c>
      <c r="S91" s="85">
        <v>2865968</v>
      </c>
      <c r="T91" s="109">
        <v>294186.22000000003</v>
      </c>
    </row>
    <row r="92" spans="1:20" ht="13.5" customHeight="1" x14ac:dyDescent="0.3">
      <c r="A92" s="101" t="s">
        <v>217</v>
      </c>
      <c r="B92" s="102">
        <v>41002</v>
      </c>
      <c r="C92" s="98">
        <v>6071.99</v>
      </c>
      <c r="D92" s="98">
        <v>0</v>
      </c>
      <c r="E92" s="98">
        <f t="shared" si="17"/>
        <v>6071.99</v>
      </c>
      <c r="F92" s="104">
        <v>29.75</v>
      </c>
      <c r="G92" s="99">
        <f t="shared" si="18"/>
        <v>119</v>
      </c>
      <c r="H92" s="104">
        <f t="shared" si="21"/>
        <v>15</v>
      </c>
      <c r="I92" s="104">
        <f t="shared" si="19"/>
        <v>404.79933333333332</v>
      </c>
      <c r="J92" s="104">
        <f t="shared" si="11"/>
        <v>1.9833333333333334</v>
      </c>
      <c r="K92" s="104">
        <f t="shared" si="12"/>
        <v>406.78266666666667</v>
      </c>
      <c r="L92" s="105">
        <f t="shared" si="13"/>
        <v>76960.432499999995</v>
      </c>
      <c r="M92" s="105">
        <f t="shared" si="14"/>
        <v>31306169.960169997</v>
      </c>
      <c r="N92" s="105">
        <f t="shared" si="20"/>
        <v>12140532.710553924</v>
      </c>
      <c r="O92" s="105">
        <v>0</v>
      </c>
      <c r="P92" s="105">
        <f t="shared" si="15"/>
        <v>43446702.670723923</v>
      </c>
      <c r="Q92" s="105">
        <v>0</v>
      </c>
      <c r="R92" s="105">
        <f t="shared" si="16"/>
        <v>43446702.670723923</v>
      </c>
      <c r="S92" s="85">
        <v>18023297</v>
      </c>
      <c r="T92" s="109">
        <v>1060549.21</v>
      </c>
    </row>
    <row r="93" spans="1:20" ht="13.5" customHeight="1" x14ac:dyDescent="0.3">
      <c r="A93" s="101" t="s">
        <v>237</v>
      </c>
      <c r="B93" s="102">
        <v>41004</v>
      </c>
      <c r="C93" s="98">
        <v>1151.94</v>
      </c>
      <c r="D93" s="98">
        <v>0.30000000000000004</v>
      </c>
      <c r="E93" s="98">
        <f t="shared" si="17"/>
        <v>1152.24</v>
      </c>
      <c r="F93" s="104">
        <v>2.25</v>
      </c>
      <c r="G93" s="99">
        <f t="shared" si="18"/>
        <v>9</v>
      </c>
      <c r="H93" s="104">
        <f t="shared" si="21"/>
        <v>15</v>
      </c>
      <c r="I93" s="104">
        <f t="shared" si="19"/>
        <v>76.816000000000003</v>
      </c>
      <c r="J93" s="104">
        <f t="shared" si="11"/>
        <v>0.15</v>
      </c>
      <c r="K93" s="104">
        <f t="shared" si="12"/>
        <v>76.966000000000008</v>
      </c>
      <c r="L93" s="105">
        <f t="shared" si="13"/>
        <v>76960.432499999995</v>
      </c>
      <c r="M93" s="105">
        <f t="shared" si="14"/>
        <v>5923336.6477950001</v>
      </c>
      <c r="N93" s="105">
        <f t="shared" si="20"/>
        <v>2297069.9520149007</v>
      </c>
      <c r="O93" s="105">
        <v>0</v>
      </c>
      <c r="P93" s="105">
        <f t="shared" si="15"/>
        <v>8220406.5998099009</v>
      </c>
      <c r="Q93" s="105">
        <v>0</v>
      </c>
      <c r="R93" s="105">
        <f t="shared" si="16"/>
        <v>8220406.5998099009</v>
      </c>
      <c r="S93" s="85">
        <v>3170633</v>
      </c>
      <c r="T93" s="109">
        <v>466034.08999999997</v>
      </c>
    </row>
    <row r="94" spans="1:20" ht="13.5" customHeight="1" x14ac:dyDescent="0.3">
      <c r="A94" s="101" t="s">
        <v>279</v>
      </c>
      <c r="B94" s="102">
        <v>41005</v>
      </c>
      <c r="C94" s="98">
        <v>2428.62</v>
      </c>
      <c r="D94" s="98">
        <v>0</v>
      </c>
      <c r="E94" s="98">
        <f t="shared" si="17"/>
        <v>2428.62</v>
      </c>
      <c r="F94" s="104">
        <v>9</v>
      </c>
      <c r="G94" s="99">
        <f t="shared" si="18"/>
        <v>36</v>
      </c>
      <c r="H94" s="104">
        <f t="shared" si="21"/>
        <v>15</v>
      </c>
      <c r="I94" s="104">
        <f t="shared" si="19"/>
        <v>161.90799999999999</v>
      </c>
      <c r="J94" s="104">
        <f t="shared" si="11"/>
        <v>0.6</v>
      </c>
      <c r="K94" s="104">
        <f t="shared" si="12"/>
        <v>162.50799999999998</v>
      </c>
      <c r="L94" s="105">
        <f t="shared" si="13"/>
        <v>76960.432499999995</v>
      </c>
      <c r="M94" s="105">
        <f t="shared" si="14"/>
        <v>12506685.964709997</v>
      </c>
      <c r="N94" s="105">
        <f t="shared" si="20"/>
        <v>4850092.8171145367</v>
      </c>
      <c r="O94" s="105">
        <v>0</v>
      </c>
      <c r="P94" s="105">
        <f t="shared" si="15"/>
        <v>17356778.781824533</v>
      </c>
      <c r="Q94" s="105">
        <v>0</v>
      </c>
      <c r="R94" s="105">
        <f t="shared" si="16"/>
        <v>17356778.781824533</v>
      </c>
      <c r="S94" s="85">
        <v>4617072</v>
      </c>
      <c r="T94" s="109">
        <v>367190.92</v>
      </c>
    </row>
    <row r="95" spans="1:20" ht="13.5" customHeight="1" x14ac:dyDescent="0.3">
      <c r="A95" s="101" t="s">
        <v>239</v>
      </c>
      <c r="B95" s="102">
        <v>42001</v>
      </c>
      <c r="C95" s="98">
        <v>345</v>
      </c>
      <c r="D95" s="98">
        <v>0.2</v>
      </c>
      <c r="E95" s="98">
        <f t="shared" si="17"/>
        <v>345.2</v>
      </c>
      <c r="F95" s="104">
        <v>0</v>
      </c>
      <c r="G95" s="99">
        <f t="shared" si="18"/>
        <v>0</v>
      </c>
      <c r="H95" s="104">
        <f t="shared" si="21"/>
        <v>13.089</v>
      </c>
      <c r="I95" s="104">
        <f t="shared" si="19"/>
        <v>26.373290549316216</v>
      </c>
      <c r="J95" s="104">
        <f t="shared" si="11"/>
        <v>0</v>
      </c>
      <c r="K95" s="104">
        <f t="shared" si="12"/>
        <v>26.373290549316216</v>
      </c>
      <c r="L95" s="105">
        <f t="shared" si="13"/>
        <v>76960.432499999995</v>
      </c>
      <c r="M95" s="105">
        <f t="shared" si="14"/>
        <v>2029699.8471235384</v>
      </c>
      <c r="N95" s="105">
        <f t="shared" si="20"/>
        <v>787117.60071450809</v>
      </c>
      <c r="O95" s="105">
        <v>0</v>
      </c>
      <c r="P95" s="105">
        <f t="shared" si="15"/>
        <v>2816817.4478380466</v>
      </c>
      <c r="Q95" s="105">
        <v>0</v>
      </c>
      <c r="R95" s="105">
        <f t="shared" si="16"/>
        <v>2816817.4478380466</v>
      </c>
      <c r="S95" s="85">
        <v>1196802</v>
      </c>
      <c r="T95" s="109">
        <v>318199.12</v>
      </c>
    </row>
    <row r="96" spans="1:20" ht="13.5" customHeight="1" x14ac:dyDescent="0.3">
      <c r="A96" s="101" t="s">
        <v>174</v>
      </c>
      <c r="B96" s="102">
        <v>43001</v>
      </c>
      <c r="C96" s="98">
        <v>303.57</v>
      </c>
      <c r="D96" s="98">
        <v>0</v>
      </c>
      <c r="E96" s="98">
        <f t="shared" si="17"/>
        <v>303.57</v>
      </c>
      <c r="F96" s="104">
        <v>0</v>
      </c>
      <c r="G96" s="99">
        <f t="shared" si="18"/>
        <v>0</v>
      </c>
      <c r="H96" s="104">
        <f t="shared" si="21"/>
        <v>12.776775000000001</v>
      </c>
      <c r="I96" s="104">
        <f t="shared" si="19"/>
        <v>23.759516779468996</v>
      </c>
      <c r="J96" s="104">
        <f t="shared" si="11"/>
        <v>0</v>
      </c>
      <c r="K96" s="104">
        <f t="shared" si="12"/>
        <v>23.759516779468996</v>
      </c>
      <c r="L96" s="105">
        <f t="shared" si="13"/>
        <v>76960.432499999995</v>
      </c>
      <c r="M96" s="105">
        <f t="shared" si="14"/>
        <v>1828542.6873389408</v>
      </c>
      <c r="N96" s="105">
        <f t="shared" si="20"/>
        <v>709108.85415004124</v>
      </c>
      <c r="O96" s="105">
        <v>0</v>
      </c>
      <c r="P96" s="105">
        <f t="shared" si="15"/>
        <v>2537651.5414889818</v>
      </c>
      <c r="Q96" s="105">
        <v>0</v>
      </c>
      <c r="R96" s="105">
        <f t="shared" si="16"/>
        <v>2537651.5414889818</v>
      </c>
      <c r="S96" s="85">
        <v>590845</v>
      </c>
      <c r="T96" s="109">
        <v>87259.43</v>
      </c>
    </row>
    <row r="97" spans="1:20" ht="13.5" customHeight="1" x14ac:dyDescent="0.3">
      <c r="A97" s="101" t="s">
        <v>251</v>
      </c>
      <c r="B97" s="102">
        <v>43002</v>
      </c>
      <c r="C97" s="98">
        <v>255</v>
      </c>
      <c r="D97" s="98">
        <v>0</v>
      </c>
      <c r="E97" s="98">
        <f t="shared" si="17"/>
        <v>255</v>
      </c>
      <c r="F97" s="104">
        <v>2.25</v>
      </c>
      <c r="G97" s="99">
        <f t="shared" si="18"/>
        <v>9</v>
      </c>
      <c r="H97" s="104">
        <f t="shared" si="21"/>
        <v>12.4125</v>
      </c>
      <c r="I97" s="104">
        <f t="shared" si="19"/>
        <v>20.543806646525681</v>
      </c>
      <c r="J97" s="104">
        <f t="shared" si="11"/>
        <v>0.1812688821752266</v>
      </c>
      <c r="K97" s="104">
        <f t="shared" si="12"/>
        <v>20.725075528700909</v>
      </c>
      <c r="L97" s="105">
        <f t="shared" si="13"/>
        <v>76960.432499999995</v>
      </c>
      <c r="M97" s="105">
        <f t="shared" si="14"/>
        <v>1595010.776283988</v>
      </c>
      <c r="N97" s="105">
        <f t="shared" si="20"/>
        <v>618545.17904293048</v>
      </c>
      <c r="O97" s="105">
        <v>0</v>
      </c>
      <c r="P97" s="105">
        <f t="shared" si="15"/>
        <v>2213555.9553269185</v>
      </c>
      <c r="Q97" s="105">
        <v>0</v>
      </c>
      <c r="R97" s="105">
        <f t="shared" si="16"/>
        <v>2213555.9553269185</v>
      </c>
      <c r="S97" s="85">
        <v>517813</v>
      </c>
      <c r="T97" s="109">
        <v>98503.999999999985</v>
      </c>
    </row>
    <row r="98" spans="1:20" ht="13.5" customHeight="1" x14ac:dyDescent="0.3">
      <c r="A98" s="101" t="s">
        <v>242</v>
      </c>
      <c r="B98" s="102">
        <v>43007</v>
      </c>
      <c r="C98" s="98">
        <v>437.51</v>
      </c>
      <c r="D98" s="98">
        <v>0</v>
      </c>
      <c r="E98" s="98">
        <f t="shared" si="17"/>
        <v>437.51</v>
      </c>
      <c r="F98" s="104">
        <v>1.75</v>
      </c>
      <c r="G98" s="99">
        <f t="shared" si="18"/>
        <v>7</v>
      </c>
      <c r="H98" s="104">
        <f t="shared" si="21"/>
        <v>13.781324999999999</v>
      </c>
      <c r="I98" s="104">
        <f t="shared" si="19"/>
        <v>31.746584599086084</v>
      </c>
      <c r="J98" s="104">
        <f t="shared" si="11"/>
        <v>0.12698343591780908</v>
      </c>
      <c r="K98" s="104">
        <f t="shared" si="12"/>
        <v>31.873568035003892</v>
      </c>
      <c r="L98" s="105">
        <f t="shared" si="13"/>
        <v>76960.432499999995</v>
      </c>
      <c r="M98" s="105">
        <f t="shared" si="14"/>
        <v>2453003.5812920746</v>
      </c>
      <c r="N98" s="105">
        <f t="shared" si="20"/>
        <v>951274.78882506653</v>
      </c>
      <c r="O98" s="105">
        <v>0</v>
      </c>
      <c r="P98" s="105">
        <f t="shared" si="15"/>
        <v>3404278.3701171409</v>
      </c>
      <c r="Q98" s="105">
        <v>0</v>
      </c>
      <c r="R98" s="105">
        <f t="shared" si="16"/>
        <v>3404278.3701171409</v>
      </c>
      <c r="S98" s="85">
        <v>997667</v>
      </c>
      <c r="T98" s="109">
        <v>200131.38</v>
      </c>
    </row>
    <row r="99" spans="1:20" ht="13.5" customHeight="1" x14ac:dyDescent="0.3">
      <c r="A99" s="101" t="s">
        <v>201</v>
      </c>
      <c r="B99" s="102">
        <v>44001</v>
      </c>
      <c r="C99" s="98">
        <v>158</v>
      </c>
      <c r="D99" s="98">
        <v>0.1</v>
      </c>
      <c r="E99" s="98">
        <f t="shared" si="17"/>
        <v>158.1</v>
      </c>
      <c r="F99" s="104">
        <v>0</v>
      </c>
      <c r="G99" s="99">
        <f t="shared" si="18"/>
        <v>0</v>
      </c>
      <c r="H99" s="104">
        <f t="shared" si="21"/>
        <v>12</v>
      </c>
      <c r="I99" s="104">
        <f t="shared" si="19"/>
        <v>13.174999999999999</v>
      </c>
      <c r="J99" s="104">
        <f t="shared" si="11"/>
        <v>0</v>
      </c>
      <c r="K99" s="104">
        <f t="shared" si="12"/>
        <v>13.174999999999999</v>
      </c>
      <c r="L99" s="105">
        <f t="shared" si="13"/>
        <v>76960.432499999995</v>
      </c>
      <c r="M99" s="105">
        <f t="shared" si="14"/>
        <v>1013953.6981874999</v>
      </c>
      <c r="N99" s="105">
        <f t="shared" si="20"/>
        <v>393211.24415711244</v>
      </c>
      <c r="O99" s="105">
        <v>0</v>
      </c>
      <c r="P99" s="105">
        <f t="shared" si="15"/>
        <v>1407164.9423446124</v>
      </c>
      <c r="Q99" s="105">
        <v>0</v>
      </c>
      <c r="R99" s="105">
        <f t="shared" si="16"/>
        <v>1407164.9423446124</v>
      </c>
      <c r="S99" s="85">
        <v>964033</v>
      </c>
      <c r="T99" s="109">
        <v>72324.87</v>
      </c>
    </row>
    <row r="100" spans="1:20" ht="14.25" customHeight="1" x14ac:dyDescent="0.3">
      <c r="A100" s="101" t="s">
        <v>238</v>
      </c>
      <c r="B100" s="102">
        <v>44002</v>
      </c>
      <c r="C100" s="98">
        <v>192</v>
      </c>
      <c r="D100" s="98">
        <v>0</v>
      </c>
      <c r="E100" s="98">
        <f t="shared" si="17"/>
        <v>192</v>
      </c>
      <c r="F100" s="104">
        <v>6.5</v>
      </c>
      <c r="G100" s="99">
        <f t="shared" si="18"/>
        <v>26</v>
      </c>
      <c r="H100" s="104">
        <f t="shared" si="21"/>
        <v>12</v>
      </c>
      <c r="I100" s="104">
        <f t="shared" si="19"/>
        <v>16</v>
      </c>
      <c r="J100" s="104">
        <f t="shared" si="11"/>
        <v>0.54166666666666663</v>
      </c>
      <c r="K100" s="104">
        <f t="shared" si="12"/>
        <v>16.541666666666668</v>
      </c>
      <c r="L100" s="105">
        <f t="shared" si="13"/>
        <v>76960.432499999995</v>
      </c>
      <c r="M100" s="105">
        <f t="shared" si="14"/>
        <v>1273053.8209375001</v>
      </c>
      <c r="N100" s="105">
        <f t="shared" si="20"/>
        <v>493690.27175956249</v>
      </c>
      <c r="O100" s="105">
        <v>0</v>
      </c>
      <c r="P100" s="105">
        <f t="shared" si="15"/>
        <v>1766744.0926970625</v>
      </c>
      <c r="Q100" s="105">
        <v>0</v>
      </c>
      <c r="R100" s="105">
        <f t="shared" si="16"/>
        <v>1766744.0926970625</v>
      </c>
      <c r="S100" s="85">
        <v>704681</v>
      </c>
      <c r="T100" s="109">
        <v>236572.43</v>
      </c>
    </row>
    <row r="101" spans="1:20" ht="13.5" customHeight="1" x14ac:dyDescent="0.3">
      <c r="A101" s="101" t="s">
        <v>377</v>
      </c>
      <c r="B101" s="102">
        <v>45004</v>
      </c>
      <c r="C101" s="98">
        <v>481</v>
      </c>
      <c r="D101" s="98">
        <v>0</v>
      </c>
      <c r="E101" s="98">
        <f t="shared" si="17"/>
        <v>481</v>
      </c>
      <c r="F101" s="104">
        <v>8.25</v>
      </c>
      <c r="G101" s="99">
        <f t="shared" si="18"/>
        <v>33</v>
      </c>
      <c r="H101" s="104">
        <f t="shared" si="21"/>
        <v>14.1075</v>
      </c>
      <c r="I101" s="104">
        <f t="shared" si="19"/>
        <v>34.095339358497256</v>
      </c>
      <c r="J101" s="104">
        <f t="shared" si="11"/>
        <v>0.58479532163742687</v>
      </c>
      <c r="K101" s="104">
        <f t="shared" si="12"/>
        <v>34.680134680134685</v>
      </c>
      <c r="L101" s="105">
        <f t="shared" si="13"/>
        <v>76960.432499999995</v>
      </c>
      <c r="M101" s="105">
        <f t="shared" si="14"/>
        <v>2668998.1641414142</v>
      </c>
      <c r="N101" s="105">
        <f t="shared" si="20"/>
        <v>1035037.4880540404</v>
      </c>
      <c r="O101" s="105">
        <v>0</v>
      </c>
      <c r="P101" s="105">
        <f t="shared" si="15"/>
        <v>3704035.6521954546</v>
      </c>
      <c r="Q101" s="105">
        <v>0</v>
      </c>
      <c r="R101" s="105">
        <f t="shared" si="16"/>
        <v>3704035.6521954546</v>
      </c>
      <c r="S101" s="85">
        <v>2026023</v>
      </c>
      <c r="T101" s="109">
        <v>348335.63</v>
      </c>
    </row>
    <row r="102" spans="1:20" ht="13.5" customHeight="1" x14ac:dyDescent="0.3">
      <c r="A102" s="101" t="s">
        <v>234</v>
      </c>
      <c r="B102" s="102">
        <v>45005</v>
      </c>
      <c r="C102" s="98">
        <v>225</v>
      </c>
      <c r="D102" s="98">
        <v>0</v>
      </c>
      <c r="E102" s="98">
        <f t="shared" si="17"/>
        <v>225</v>
      </c>
      <c r="F102" s="104">
        <v>6</v>
      </c>
      <c r="G102" s="99">
        <f t="shared" si="18"/>
        <v>24</v>
      </c>
      <c r="H102" s="104">
        <f t="shared" si="21"/>
        <v>12.1875</v>
      </c>
      <c r="I102" s="104">
        <f t="shared" si="19"/>
        <v>18.46153846153846</v>
      </c>
      <c r="J102" s="104">
        <f t="shared" si="11"/>
        <v>0.49230769230769234</v>
      </c>
      <c r="K102" s="104">
        <f t="shared" si="12"/>
        <v>18.95384615384615</v>
      </c>
      <c r="L102" s="105">
        <f t="shared" si="13"/>
        <v>76960.432499999995</v>
      </c>
      <c r="M102" s="105">
        <f t="shared" si="14"/>
        <v>1458696.1975384613</v>
      </c>
      <c r="N102" s="105">
        <f t="shared" si="20"/>
        <v>565682.3854054152</v>
      </c>
      <c r="O102" s="105">
        <v>0</v>
      </c>
      <c r="P102" s="105">
        <f t="shared" si="15"/>
        <v>2024378.5829438765</v>
      </c>
      <c r="Q102" s="105">
        <v>0</v>
      </c>
      <c r="R102" s="105">
        <f t="shared" si="16"/>
        <v>2024378.5829438765</v>
      </c>
      <c r="S102" s="85">
        <v>964768</v>
      </c>
      <c r="T102" s="109">
        <v>121493.45000000001</v>
      </c>
    </row>
    <row r="103" spans="1:20" ht="13.5" customHeight="1" x14ac:dyDescent="0.3">
      <c r="A103" s="101" t="s">
        <v>245</v>
      </c>
      <c r="B103" s="102">
        <v>46001</v>
      </c>
      <c r="C103" s="98">
        <v>3028.37</v>
      </c>
      <c r="D103" s="98">
        <v>0.5</v>
      </c>
      <c r="E103" s="98">
        <f t="shared" si="17"/>
        <v>3028.87</v>
      </c>
      <c r="F103" s="104">
        <v>1.5</v>
      </c>
      <c r="G103" s="99">
        <f t="shared" si="18"/>
        <v>6</v>
      </c>
      <c r="H103" s="104">
        <f t="shared" si="21"/>
        <v>15</v>
      </c>
      <c r="I103" s="104">
        <f t="shared" si="19"/>
        <v>201.92466666666667</v>
      </c>
      <c r="J103" s="104">
        <f t="shared" si="11"/>
        <v>0.1</v>
      </c>
      <c r="K103" s="104">
        <f t="shared" si="12"/>
        <v>202.02466666666666</v>
      </c>
      <c r="L103" s="105">
        <f t="shared" si="13"/>
        <v>76960.432499999995</v>
      </c>
      <c r="M103" s="105">
        <f t="shared" si="14"/>
        <v>15547905.722334998</v>
      </c>
      <c r="N103" s="105">
        <f t="shared" si="20"/>
        <v>6029477.8391215121</v>
      </c>
      <c r="O103" s="105">
        <v>0</v>
      </c>
      <c r="P103" s="105">
        <f t="shared" si="15"/>
        <v>21577383.561456509</v>
      </c>
      <c r="Q103" s="105">
        <v>0</v>
      </c>
      <c r="R103" s="105">
        <f t="shared" si="16"/>
        <v>21577383.561456509</v>
      </c>
      <c r="S103" s="85">
        <v>9546322</v>
      </c>
      <c r="T103" s="109">
        <v>785797.38000000012</v>
      </c>
    </row>
    <row r="104" spans="1:20" ht="13.5" customHeight="1" x14ac:dyDescent="0.3">
      <c r="A104" s="101" t="s">
        <v>202</v>
      </c>
      <c r="B104" s="102">
        <v>46002</v>
      </c>
      <c r="C104" s="98">
        <v>185</v>
      </c>
      <c r="D104" s="98">
        <v>0</v>
      </c>
      <c r="E104" s="98">
        <f t="shared" si="17"/>
        <v>185</v>
      </c>
      <c r="F104" s="104">
        <v>0</v>
      </c>
      <c r="G104" s="99">
        <f t="shared" si="18"/>
        <v>0</v>
      </c>
      <c r="H104" s="104">
        <f t="shared" si="21"/>
        <v>12</v>
      </c>
      <c r="I104" s="104">
        <f t="shared" si="19"/>
        <v>15.416666666666666</v>
      </c>
      <c r="J104" s="104">
        <f t="shared" si="11"/>
        <v>0</v>
      </c>
      <c r="K104" s="104">
        <f t="shared" si="12"/>
        <v>15.416666666666666</v>
      </c>
      <c r="L104" s="105">
        <f t="shared" si="13"/>
        <v>76960.432499999995</v>
      </c>
      <c r="M104" s="105">
        <f t="shared" si="14"/>
        <v>1186473.3343749999</v>
      </c>
      <c r="N104" s="105">
        <f t="shared" si="20"/>
        <v>460114.35907062492</v>
      </c>
      <c r="O104" s="105">
        <v>0</v>
      </c>
      <c r="P104" s="105">
        <f t="shared" si="15"/>
        <v>1646587.6934456248</v>
      </c>
      <c r="Q104" s="105">
        <v>0</v>
      </c>
      <c r="R104" s="105">
        <f t="shared" si="16"/>
        <v>1646587.6934456248</v>
      </c>
      <c r="S104" s="85">
        <v>281055</v>
      </c>
      <c r="T104" s="109">
        <v>56646.36</v>
      </c>
    </row>
    <row r="105" spans="1:20" ht="13.5" customHeight="1" x14ac:dyDescent="0.3">
      <c r="A105" s="101" t="s">
        <v>296</v>
      </c>
      <c r="B105" s="102">
        <v>47001</v>
      </c>
      <c r="C105" s="98">
        <v>402</v>
      </c>
      <c r="D105" s="98">
        <v>0</v>
      </c>
      <c r="E105" s="98">
        <f t="shared" si="17"/>
        <v>402</v>
      </c>
      <c r="F105" s="104">
        <v>0</v>
      </c>
      <c r="G105" s="99">
        <f t="shared" si="18"/>
        <v>0</v>
      </c>
      <c r="H105" s="104">
        <f t="shared" si="21"/>
        <v>13.515000000000001</v>
      </c>
      <c r="I105" s="104">
        <f t="shared" si="19"/>
        <v>29.744728079911209</v>
      </c>
      <c r="J105" s="104">
        <f t="shared" si="11"/>
        <v>0</v>
      </c>
      <c r="K105" s="104">
        <f t="shared" si="12"/>
        <v>29.744728079911209</v>
      </c>
      <c r="L105" s="105">
        <f t="shared" si="13"/>
        <v>76960.432499999995</v>
      </c>
      <c r="M105" s="105">
        <f t="shared" si="14"/>
        <v>2289167.1376248612</v>
      </c>
      <c r="N105" s="105">
        <f t="shared" si="20"/>
        <v>887739.01597092114</v>
      </c>
      <c r="O105" s="105">
        <v>0</v>
      </c>
      <c r="P105" s="105">
        <f t="shared" si="15"/>
        <v>3176906.1535957824</v>
      </c>
      <c r="Q105" s="105">
        <v>0</v>
      </c>
      <c r="R105" s="105">
        <f t="shared" si="16"/>
        <v>3176906.1535957824</v>
      </c>
      <c r="S105" s="85">
        <v>297568</v>
      </c>
      <c r="T105" s="109">
        <v>86632.77</v>
      </c>
    </row>
    <row r="106" spans="1:20" ht="13.5" customHeight="1" x14ac:dyDescent="0.3">
      <c r="A106" s="101" t="s">
        <v>225</v>
      </c>
      <c r="B106" s="102">
        <v>48003</v>
      </c>
      <c r="C106" s="98">
        <v>334</v>
      </c>
      <c r="D106" s="98">
        <v>0</v>
      </c>
      <c r="E106" s="98">
        <f t="shared" si="17"/>
        <v>334</v>
      </c>
      <c r="F106" s="104">
        <v>2.5</v>
      </c>
      <c r="G106" s="99">
        <f t="shared" si="18"/>
        <v>10</v>
      </c>
      <c r="H106" s="104">
        <f t="shared" si="21"/>
        <v>13.004999999999999</v>
      </c>
      <c r="I106" s="104">
        <f t="shared" si="19"/>
        <v>25.68242983467897</v>
      </c>
      <c r="J106" s="104">
        <f t="shared" si="11"/>
        <v>0.19223375624759709</v>
      </c>
      <c r="K106" s="104">
        <f t="shared" si="12"/>
        <v>25.874663590926566</v>
      </c>
      <c r="L106" s="105">
        <f t="shared" si="13"/>
        <v>76960.432499999995</v>
      </c>
      <c r="M106" s="105">
        <f t="shared" si="14"/>
        <v>1991325.3007497115</v>
      </c>
      <c r="N106" s="105">
        <f t="shared" si="20"/>
        <v>772235.9516307381</v>
      </c>
      <c r="O106" s="105">
        <v>0</v>
      </c>
      <c r="P106" s="105">
        <f t="shared" si="15"/>
        <v>2763561.2523804493</v>
      </c>
      <c r="Q106" s="105">
        <v>0</v>
      </c>
      <c r="R106" s="105">
        <f t="shared" si="16"/>
        <v>2763561.2523804493</v>
      </c>
      <c r="S106" s="85">
        <v>1588672</v>
      </c>
      <c r="T106" s="109">
        <v>498518.43000000005</v>
      </c>
    </row>
    <row r="107" spans="1:20" ht="13.5" customHeight="1" x14ac:dyDescent="0.3">
      <c r="A107" s="101" t="s">
        <v>161</v>
      </c>
      <c r="B107" s="102">
        <v>49001</v>
      </c>
      <c r="C107" s="98">
        <v>552.25</v>
      </c>
      <c r="D107" s="98">
        <v>0</v>
      </c>
      <c r="E107" s="98">
        <f t="shared" si="17"/>
        <v>552.25</v>
      </c>
      <c r="F107" s="104">
        <v>2.25</v>
      </c>
      <c r="G107" s="99">
        <f t="shared" si="18"/>
        <v>9</v>
      </c>
      <c r="H107" s="104">
        <f t="shared" si="21"/>
        <v>14.641874999999999</v>
      </c>
      <c r="I107" s="104">
        <f t="shared" si="19"/>
        <v>37.717163956119009</v>
      </c>
      <c r="J107" s="104">
        <f t="shared" si="11"/>
        <v>0.1536688436419516</v>
      </c>
      <c r="K107" s="104">
        <f t="shared" si="12"/>
        <v>37.870832799760962</v>
      </c>
      <c r="L107" s="105">
        <f t="shared" si="13"/>
        <v>76960.432499999995</v>
      </c>
      <c r="M107" s="105">
        <f t="shared" si="14"/>
        <v>2914555.6714047892</v>
      </c>
      <c r="N107" s="105">
        <f t="shared" si="20"/>
        <v>1130264.6893707772</v>
      </c>
      <c r="O107" s="105">
        <v>0</v>
      </c>
      <c r="P107" s="105">
        <f t="shared" si="15"/>
        <v>4044820.3607755667</v>
      </c>
      <c r="Q107" s="105">
        <v>0</v>
      </c>
      <c r="R107" s="105">
        <f t="shared" si="16"/>
        <v>4044820.3607755667</v>
      </c>
      <c r="S107" s="85">
        <v>957003</v>
      </c>
      <c r="T107" s="109">
        <v>158295.60999999999</v>
      </c>
    </row>
    <row r="108" spans="1:20" ht="13.5" customHeight="1" x14ac:dyDescent="0.3">
      <c r="A108" s="101" t="s">
        <v>169</v>
      </c>
      <c r="B108" s="102">
        <v>49002</v>
      </c>
      <c r="C108" s="98">
        <v>5016.5200000000004</v>
      </c>
      <c r="D108" s="98">
        <v>0.2</v>
      </c>
      <c r="E108" s="98">
        <f t="shared" si="17"/>
        <v>5016.72</v>
      </c>
      <c r="F108" s="104">
        <v>20.75</v>
      </c>
      <c r="G108" s="99">
        <f t="shared" si="18"/>
        <v>83</v>
      </c>
      <c r="H108" s="104">
        <f t="shared" si="21"/>
        <v>15</v>
      </c>
      <c r="I108" s="104">
        <f t="shared" si="19"/>
        <v>334.44800000000004</v>
      </c>
      <c r="J108" s="104">
        <f t="shared" si="11"/>
        <v>1.3833333333333333</v>
      </c>
      <c r="K108" s="104">
        <f t="shared" si="12"/>
        <v>335.83133333333336</v>
      </c>
      <c r="L108" s="105">
        <f t="shared" si="13"/>
        <v>76960.432499999995</v>
      </c>
      <c r="M108" s="105">
        <f t="shared" si="14"/>
        <v>25845724.660385001</v>
      </c>
      <c r="N108" s="105">
        <f t="shared" si="20"/>
        <v>10022972.023297302</v>
      </c>
      <c r="O108" s="105">
        <v>0</v>
      </c>
      <c r="P108" s="105">
        <f t="shared" si="15"/>
        <v>35868696.683682308</v>
      </c>
      <c r="Q108" s="105">
        <v>0</v>
      </c>
      <c r="R108" s="105">
        <f t="shared" si="16"/>
        <v>35868696.683682308</v>
      </c>
      <c r="S108" s="85">
        <v>12158509</v>
      </c>
      <c r="T108" s="109">
        <v>1841225.48</v>
      </c>
    </row>
    <row r="109" spans="1:20" ht="13.5" customHeight="1" x14ac:dyDescent="0.3">
      <c r="A109" s="101" t="s">
        <v>187</v>
      </c>
      <c r="B109" s="102">
        <v>49003</v>
      </c>
      <c r="C109" s="98">
        <v>981.94</v>
      </c>
      <c r="D109" s="98">
        <v>0</v>
      </c>
      <c r="E109" s="98">
        <f t="shared" si="17"/>
        <v>981.94</v>
      </c>
      <c r="F109" s="104">
        <v>3</v>
      </c>
      <c r="G109" s="99">
        <f t="shared" si="18"/>
        <v>12</v>
      </c>
      <c r="H109" s="104">
        <f t="shared" si="21"/>
        <v>15</v>
      </c>
      <c r="I109" s="104">
        <f t="shared" si="19"/>
        <v>65.462666666666664</v>
      </c>
      <c r="J109" s="104">
        <f t="shared" si="11"/>
        <v>0.2</v>
      </c>
      <c r="K109" s="104">
        <f t="shared" si="12"/>
        <v>65.662666666666667</v>
      </c>
      <c r="L109" s="105">
        <f t="shared" si="13"/>
        <v>76960.432499999995</v>
      </c>
      <c r="M109" s="105">
        <f t="shared" si="14"/>
        <v>5053427.2257699994</v>
      </c>
      <c r="N109" s="105">
        <f t="shared" si="20"/>
        <v>1959719.0781536056</v>
      </c>
      <c r="O109" s="105">
        <v>0</v>
      </c>
      <c r="P109" s="105">
        <f t="shared" si="15"/>
        <v>7013146.303923605</v>
      </c>
      <c r="Q109" s="105">
        <v>0</v>
      </c>
      <c r="R109" s="105">
        <f t="shared" si="16"/>
        <v>7013146.303923605</v>
      </c>
      <c r="S109" s="85">
        <v>2429397</v>
      </c>
      <c r="T109" s="109">
        <v>476898.58999999997</v>
      </c>
    </row>
    <row r="110" spans="1:20" ht="13.5" customHeight="1" x14ac:dyDescent="0.3">
      <c r="A110" s="101" t="s">
        <v>208</v>
      </c>
      <c r="B110" s="102">
        <v>49004</v>
      </c>
      <c r="C110" s="98">
        <v>456.44</v>
      </c>
      <c r="D110" s="98">
        <v>0</v>
      </c>
      <c r="E110" s="98">
        <f t="shared" si="17"/>
        <v>456.44</v>
      </c>
      <c r="F110" s="104">
        <v>0.5</v>
      </c>
      <c r="G110" s="99">
        <f t="shared" si="18"/>
        <v>2</v>
      </c>
      <c r="H110" s="104">
        <f t="shared" si="21"/>
        <v>13.923299999999999</v>
      </c>
      <c r="I110" s="104">
        <f t="shared" si="19"/>
        <v>32.782458181609243</v>
      </c>
      <c r="J110" s="104">
        <f t="shared" si="11"/>
        <v>3.591102683990146E-2</v>
      </c>
      <c r="K110" s="104">
        <f t="shared" si="12"/>
        <v>32.818369208449148</v>
      </c>
      <c r="L110" s="105">
        <f t="shared" si="13"/>
        <v>76960.432499999995</v>
      </c>
      <c r="M110" s="105">
        <f t="shared" si="14"/>
        <v>2525715.8882269291</v>
      </c>
      <c r="N110" s="105">
        <f t="shared" si="20"/>
        <v>979472.62145440304</v>
      </c>
      <c r="O110" s="105">
        <v>0</v>
      </c>
      <c r="P110" s="105">
        <f t="shared" si="15"/>
        <v>3505188.5096813319</v>
      </c>
      <c r="Q110" s="105">
        <v>0</v>
      </c>
      <c r="R110" s="105">
        <f t="shared" si="16"/>
        <v>3505188.5096813319</v>
      </c>
      <c r="S110" s="85">
        <v>1151624</v>
      </c>
      <c r="T110" s="109">
        <v>256715.71</v>
      </c>
    </row>
    <row r="111" spans="1:20" ht="13.5" customHeight="1" x14ac:dyDescent="0.3">
      <c r="A111" s="101" t="s">
        <v>271</v>
      </c>
      <c r="B111" s="102">
        <v>49005</v>
      </c>
      <c r="C111" s="98">
        <v>24447.69</v>
      </c>
      <c r="D111" s="98">
        <v>0.1</v>
      </c>
      <c r="E111" s="98">
        <f t="shared" si="17"/>
        <v>24447.789999999997</v>
      </c>
      <c r="F111" s="104">
        <v>467</v>
      </c>
      <c r="G111" s="99">
        <f t="shared" si="18"/>
        <v>1868</v>
      </c>
      <c r="H111" s="104">
        <f t="shared" si="21"/>
        <v>15</v>
      </c>
      <c r="I111" s="104">
        <f t="shared" si="19"/>
        <v>1629.8526666666664</v>
      </c>
      <c r="J111" s="104">
        <f t="shared" si="11"/>
        <v>31.133333333333333</v>
      </c>
      <c r="K111" s="104">
        <f t="shared" si="12"/>
        <v>1660.9859999999999</v>
      </c>
      <c r="L111" s="105">
        <f t="shared" si="13"/>
        <v>76960.432499999995</v>
      </c>
      <c r="M111" s="105">
        <f t="shared" si="14"/>
        <v>127830200.93644498</v>
      </c>
      <c r="N111" s="105">
        <f t="shared" si="20"/>
        <v>49572551.923153363</v>
      </c>
      <c r="O111" s="105">
        <v>98503</v>
      </c>
      <c r="P111" s="105">
        <f t="shared" si="15"/>
        <v>177501255.85959834</v>
      </c>
      <c r="Q111" s="105">
        <v>0</v>
      </c>
      <c r="R111" s="105">
        <f t="shared" si="16"/>
        <v>177501255.85959834</v>
      </c>
      <c r="S111" s="85">
        <v>74162672</v>
      </c>
      <c r="T111" s="109">
        <v>7264530.96</v>
      </c>
    </row>
    <row r="112" spans="1:20" ht="13.5" customHeight="1" x14ac:dyDescent="0.3">
      <c r="A112" s="101" t="s">
        <v>283</v>
      </c>
      <c r="B112" s="102">
        <v>49006</v>
      </c>
      <c r="C112" s="98">
        <v>936.38</v>
      </c>
      <c r="D112" s="98">
        <v>0.1</v>
      </c>
      <c r="E112" s="98">
        <f t="shared" si="17"/>
        <v>936.48</v>
      </c>
      <c r="F112" s="104">
        <v>7.75</v>
      </c>
      <c r="G112" s="99">
        <f t="shared" si="18"/>
        <v>31</v>
      </c>
      <c r="H112" s="104">
        <f t="shared" si="21"/>
        <v>15</v>
      </c>
      <c r="I112" s="104">
        <f t="shared" si="19"/>
        <v>62.432000000000002</v>
      </c>
      <c r="J112" s="104">
        <f t="shared" si="11"/>
        <v>0.51666666666666672</v>
      </c>
      <c r="K112" s="104">
        <f t="shared" si="12"/>
        <v>62.948666666666668</v>
      </c>
      <c r="L112" s="105">
        <f t="shared" si="13"/>
        <v>76960.432499999995</v>
      </c>
      <c r="M112" s="105">
        <f t="shared" si="14"/>
        <v>4844556.6119649997</v>
      </c>
      <c r="N112" s="105">
        <f t="shared" si="20"/>
        <v>1878719.0541200268</v>
      </c>
      <c r="O112" s="105">
        <v>0</v>
      </c>
      <c r="P112" s="105">
        <f t="shared" si="15"/>
        <v>6723275.6660850262</v>
      </c>
      <c r="Q112" s="105">
        <v>0</v>
      </c>
      <c r="R112" s="105">
        <f t="shared" si="16"/>
        <v>6723275.6660850262</v>
      </c>
      <c r="S112" s="85">
        <v>3708595</v>
      </c>
      <c r="T112" s="109">
        <v>583719.01</v>
      </c>
    </row>
    <row r="113" spans="1:20" ht="13.5" customHeight="1" x14ac:dyDescent="0.3">
      <c r="A113" s="101" t="s">
        <v>294</v>
      </c>
      <c r="B113" s="102">
        <v>49007</v>
      </c>
      <c r="C113" s="98">
        <v>1422.39</v>
      </c>
      <c r="D113" s="98">
        <v>0.1</v>
      </c>
      <c r="E113" s="98">
        <f t="shared" si="17"/>
        <v>1422.49</v>
      </c>
      <c r="F113" s="104">
        <v>1.5</v>
      </c>
      <c r="G113" s="99">
        <f t="shared" si="18"/>
        <v>6</v>
      </c>
      <c r="H113" s="104">
        <f t="shared" si="21"/>
        <v>15</v>
      </c>
      <c r="I113" s="104">
        <f t="shared" si="19"/>
        <v>94.832666666666668</v>
      </c>
      <c r="J113" s="104">
        <f t="shared" si="11"/>
        <v>0.1</v>
      </c>
      <c r="K113" s="104">
        <f t="shared" si="12"/>
        <v>94.932666666666663</v>
      </c>
      <c r="L113" s="105">
        <f t="shared" si="13"/>
        <v>76960.432499999995</v>
      </c>
      <c r="M113" s="105">
        <f t="shared" si="14"/>
        <v>7306059.0850449996</v>
      </c>
      <c r="N113" s="105">
        <f t="shared" si="20"/>
        <v>2833289.7131804507</v>
      </c>
      <c r="O113" s="105">
        <v>0</v>
      </c>
      <c r="P113" s="105">
        <f t="shared" si="15"/>
        <v>10139348.798225451</v>
      </c>
      <c r="Q113" s="105">
        <v>0</v>
      </c>
      <c r="R113" s="105">
        <f t="shared" si="16"/>
        <v>10139348.798225451</v>
      </c>
      <c r="S113" s="85">
        <v>3285160</v>
      </c>
      <c r="T113" s="109">
        <v>677147.34</v>
      </c>
    </row>
    <row r="114" spans="1:20" ht="13.5" customHeight="1" x14ac:dyDescent="0.3">
      <c r="A114" s="101" t="s">
        <v>204</v>
      </c>
      <c r="B114" s="102">
        <v>50003</v>
      </c>
      <c r="C114" s="98">
        <v>705.28</v>
      </c>
      <c r="D114" s="98">
        <v>0.30000000000000004</v>
      </c>
      <c r="E114" s="98">
        <f t="shared" si="17"/>
        <v>705.57999999999993</v>
      </c>
      <c r="F114" s="104">
        <v>21.5</v>
      </c>
      <c r="G114" s="99">
        <f t="shared" si="18"/>
        <v>86</v>
      </c>
      <c r="H114" s="104">
        <f t="shared" si="21"/>
        <v>15</v>
      </c>
      <c r="I114" s="104">
        <f t="shared" si="19"/>
        <v>47.038666666666664</v>
      </c>
      <c r="J114" s="104">
        <f t="shared" si="11"/>
        <v>1.4333333333333333</v>
      </c>
      <c r="K114" s="104">
        <f t="shared" si="12"/>
        <v>48.471999999999994</v>
      </c>
      <c r="L114" s="105">
        <f t="shared" si="13"/>
        <v>76960.432499999995</v>
      </c>
      <c r="M114" s="105">
        <f t="shared" si="14"/>
        <v>3730426.0841399995</v>
      </c>
      <c r="N114" s="105">
        <f t="shared" si="20"/>
        <v>1446659.2354294916</v>
      </c>
      <c r="O114" s="105">
        <v>0</v>
      </c>
      <c r="P114" s="105">
        <f t="shared" si="15"/>
        <v>5177085.3195694908</v>
      </c>
      <c r="Q114" s="105">
        <v>0</v>
      </c>
      <c r="R114" s="105">
        <f t="shared" si="16"/>
        <v>5177085.3195694908</v>
      </c>
      <c r="S114" s="85">
        <v>1216875</v>
      </c>
      <c r="T114" s="109">
        <v>231466.95</v>
      </c>
    </row>
    <row r="115" spans="1:20" ht="13.5" customHeight="1" x14ac:dyDescent="0.3">
      <c r="A115" s="101" t="s">
        <v>181</v>
      </c>
      <c r="B115" s="102">
        <v>50005</v>
      </c>
      <c r="C115" s="98">
        <v>304.99</v>
      </c>
      <c r="D115" s="98">
        <v>0</v>
      </c>
      <c r="E115" s="98">
        <f t="shared" si="17"/>
        <v>304.99</v>
      </c>
      <c r="F115" s="104">
        <v>2.5</v>
      </c>
      <c r="G115" s="99">
        <f t="shared" si="18"/>
        <v>10</v>
      </c>
      <c r="H115" s="104">
        <f t="shared" si="21"/>
        <v>12.787424999999999</v>
      </c>
      <c r="I115" s="104">
        <f t="shared" si="19"/>
        <v>23.850775273364263</v>
      </c>
      <c r="J115" s="104">
        <f t="shared" si="11"/>
        <v>0.19550456796423049</v>
      </c>
      <c r="K115" s="104">
        <f t="shared" si="12"/>
        <v>24.046279841328495</v>
      </c>
      <c r="L115" s="105">
        <f t="shared" si="13"/>
        <v>76960.432499999995</v>
      </c>
      <c r="M115" s="105">
        <f t="shared" si="14"/>
        <v>1850612.0966046723</v>
      </c>
      <c r="N115" s="105">
        <f t="shared" si="20"/>
        <v>717667.37106329191</v>
      </c>
      <c r="O115" s="105">
        <v>0</v>
      </c>
      <c r="P115" s="105">
        <f t="shared" si="15"/>
        <v>2568279.4676679643</v>
      </c>
      <c r="Q115" s="105">
        <v>0</v>
      </c>
      <c r="R115" s="105">
        <f t="shared" si="16"/>
        <v>2568279.4676679643</v>
      </c>
      <c r="S115" s="85">
        <v>654245</v>
      </c>
      <c r="T115" s="109">
        <v>123127.95999999999</v>
      </c>
    </row>
    <row r="116" spans="1:20" ht="13.5" customHeight="1" x14ac:dyDescent="0.3">
      <c r="A116" s="101" t="s">
        <v>191</v>
      </c>
      <c r="B116" s="102">
        <v>51001</v>
      </c>
      <c r="C116" s="98">
        <v>2758.28</v>
      </c>
      <c r="D116" s="98">
        <v>0.1</v>
      </c>
      <c r="E116" s="98">
        <f t="shared" si="17"/>
        <v>2758.38</v>
      </c>
      <c r="F116" s="104">
        <v>1.75</v>
      </c>
      <c r="G116" s="99">
        <f t="shared" si="18"/>
        <v>7</v>
      </c>
      <c r="H116" s="104">
        <f t="shared" si="21"/>
        <v>15</v>
      </c>
      <c r="I116" s="104">
        <f t="shared" si="19"/>
        <v>183.892</v>
      </c>
      <c r="J116" s="104">
        <f t="shared" si="11"/>
        <v>0.11666666666666667</v>
      </c>
      <c r="K116" s="104">
        <f t="shared" si="12"/>
        <v>184.00866666666667</v>
      </c>
      <c r="L116" s="105">
        <f t="shared" si="13"/>
        <v>76960.432499999995</v>
      </c>
      <c r="M116" s="105">
        <f t="shared" si="14"/>
        <v>14161386.570414999</v>
      </c>
      <c r="N116" s="105">
        <f t="shared" si="20"/>
        <v>5491785.7120069368</v>
      </c>
      <c r="O116" s="105">
        <v>0</v>
      </c>
      <c r="P116" s="105">
        <f t="shared" si="15"/>
        <v>19653172.282421935</v>
      </c>
      <c r="Q116" s="105">
        <v>0</v>
      </c>
      <c r="R116" s="105">
        <f t="shared" si="16"/>
        <v>19653172.282421935</v>
      </c>
      <c r="S116" s="85">
        <v>3566114</v>
      </c>
      <c r="T116" s="109">
        <v>439832.08999999997</v>
      </c>
    </row>
    <row r="117" spans="1:20" ht="13.5" customHeight="1" x14ac:dyDescent="0.3">
      <c r="A117" s="101" t="s">
        <v>221</v>
      </c>
      <c r="B117" s="102">
        <v>51002</v>
      </c>
      <c r="C117" s="98">
        <v>498.4</v>
      </c>
      <c r="D117" s="98">
        <v>0.4</v>
      </c>
      <c r="E117" s="98">
        <f t="shared" si="17"/>
        <v>498.79999999999995</v>
      </c>
      <c r="F117" s="104">
        <v>3.25</v>
      </c>
      <c r="G117" s="99">
        <f t="shared" si="18"/>
        <v>13</v>
      </c>
      <c r="H117" s="104">
        <f t="shared" si="21"/>
        <v>14.241</v>
      </c>
      <c r="I117" s="104">
        <f t="shared" si="19"/>
        <v>35.025630222596725</v>
      </c>
      <c r="J117" s="104">
        <f t="shared" si="11"/>
        <v>0.2282143107927814</v>
      </c>
      <c r="K117" s="104">
        <f t="shared" si="12"/>
        <v>35.253844533389504</v>
      </c>
      <c r="L117" s="105">
        <f t="shared" si="13"/>
        <v>76960.432499999995</v>
      </c>
      <c r="M117" s="105">
        <f t="shared" si="14"/>
        <v>2713151.1225774167</v>
      </c>
      <c r="N117" s="105">
        <f t="shared" si="20"/>
        <v>1052160.0053355221</v>
      </c>
      <c r="O117" s="105">
        <v>0</v>
      </c>
      <c r="P117" s="105">
        <f t="shared" si="15"/>
        <v>3765311.1279129386</v>
      </c>
      <c r="Q117" s="105">
        <v>0</v>
      </c>
      <c r="R117" s="105">
        <f t="shared" si="16"/>
        <v>3765311.1279129386</v>
      </c>
      <c r="S117" s="85">
        <v>4036368</v>
      </c>
      <c r="T117" s="109">
        <v>165166.63</v>
      </c>
    </row>
    <row r="118" spans="1:20" ht="13.5" customHeight="1" x14ac:dyDescent="0.3">
      <c r="A118" s="101" t="s">
        <v>253</v>
      </c>
      <c r="B118" s="102">
        <v>51003</v>
      </c>
      <c r="C118" s="98">
        <v>274</v>
      </c>
      <c r="D118" s="98">
        <v>0</v>
      </c>
      <c r="E118" s="98">
        <f t="shared" si="17"/>
        <v>274</v>
      </c>
      <c r="F118" s="104">
        <v>0</v>
      </c>
      <c r="G118" s="99">
        <f t="shared" si="18"/>
        <v>0</v>
      </c>
      <c r="H118" s="104">
        <f t="shared" si="21"/>
        <v>12.555</v>
      </c>
      <c r="I118" s="104">
        <f t="shared" si="19"/>
        <v>21.823974512146556</v>
      </c>
      <c r="J118" s="104">
        <f t="shared" si="11"/>
        <v>0</v>
      </c>
      <c r="K118" s="104">
        <f t="shared" si="12"/>
        <v>21.823974512146556</v>
      </c>
      <c r="L118" s="105">
        <f t="shared" si="13"/>
        <v>76960.432499999995</v>
      </c>
      <c r="M118" s="105">
        <f t="shared" si="14"/>
        <v>1679582.5173237754</v>
      </c>
      <c r="N118" s="105">
        <f t="shared" si="20"/>
        <v>651342.10021816008</v>
      </c>
      <c r="O118" s="105">
        <v>0</v>
      </c>
      <c r="P118" s="105">
        <f t="shared" si="15"/>
        <v>2330924.6175419353</v>
      </c>
      <c r="Q118" s="105">
        <v>0</v>
      </c>
      <c r="R118" s="105">
        <f t="shared" si="16"/>
        <v>2330924.6175419353</v>
      </c>
      <c r="S118" s="85">
        <v>434984</v>
      </c>
      <c r="T118" s="109">
        <v>73773.62</v>
      </c>
    </row>
    <row r="119" spans="1:20" ht="13.5" customHeight="1" x14ac:dyDescent="0.3">
      <c r="A119" s="101" t="s">
        <v>346</v>
      </c>
      <c r="B119" s="102">
        <v>51004</v>
      </c>
      <c r="C119" s="98">
        <v>12420.76</v>
      </c>
      <c r="D119" s="98">
        <v>1.8</v>
      </c>
      <c r="E119" s="98">
        <f t="shared" si="17"/>
        <v>12422.56</v>
      </c>
      <c r="F119" s="104">
        <v>29</v>
      </c>
      <c r="G119" s="99">
        <f t="shared" si="18"/>
        <v>116</v>
      </c>
      <c r="H119" s="104">
        <f t="shared" si="21"/>
        <v>15</v>
      </c>
      <c r="I119" s="104">
        <f t="shared" si="19"/>
        <v>828.17066666666665</v>
      </c>
      <c r="J119" s="104">
        <f t="shared" si="11"/>
        <v>1.9333333333333333</v>
      </c>
      <c r="K119" s="104">
        <f t="shared" si="12"/>
        <v>830.10399999999993</v>
      </c>
      <c r="L119" s="105">
        <f t="shared" si="13"/>
        <v>76960.432499999995</v>
      </c>
      <c r="M119" s="105">
        <f t="shared" si="14"/>
        <v>63885162.859979987</v>
      </c>
      <c r="N119" s="105">
        <f t="shared" si="20"/>
        <v>24774666.157100238</v>
      </c>
      <c r="O119" s="105">
        <v>50341</v>
      </c>
      <c r="P119" s="105">
        <f t="shared" si="15"/>
        <v>88710170.017080218</v>
      </c>
      <c r="Q119" s="105">
        <v>0</v>
      </c>
      <c r="R119" s="105">
        <f t="shared" si="16"/>
        <v>88710170.017080218</v>
      </c>
      <c r="S119" s="85">
        <v>48200931</v>
      </c>
      <c r="T119" s="109">
        <v>2641745.0300000003</v>
      </c>
    </row>
    <row r="120" spans="1:20" ht="13.5" customHeight="1" x14ac:dyDescent="0.3">
      <c r="A120" s="101" t="s">
        <v>287</v>
      </c>
      <c r="B120" s="102">
        <v>51005</v>
      </c>
      <c r="C120" s="98">
        <v>279.98</v>
      </c>
      <c r="D120" s="98">
        <v>0.1</v>
      </c>
      <c r="E120" s="98">
        <f t="shared" si="17"/>
        <v>280.08000000000004</v>
      </c>
      <c r="F120" s="104">
        <v>0</v>
      </c>
      <c r="G120" s="99">
        <f t="shared" si="18"/>
        <v>0</v>
      </c>
      <c r="H120" s="104">
        <f t="shared" si="21"/>
        <v>12.6006</v>
      </c>
      <c r="I120" s="104">
        <f t="shared" si="19"/>
        <v>22.227512975572594</v>
      </c>
      <c r="J120" s="104">
        <f t="shared" si="11"/>
        <v>0</v>
      </c>
      <c r="K120" s="104">
        <f t="shared" si="12"/>
        <v>22.227512975572594</v>
      </c>
      <c r="L120" s="105">
        <f t="shared" si="13"/>
        <v>76960.432499999995</v>
      </c>
      <c r="M120" s="105">
        <f t="shared" si="14"/>
        <v>1710639.0119994287</v>
      </c>
      <c r="N120" s="105">
        <f t="shared" si="20"/>
        <v>663385.8088533784</v>
      </c>
      <c r="O120" s="105">
        <v>0</v>
      </c>
      <c r="P120" s="105">
        <f t="shared" si="15"/>
        <v>2374024.8208528073</v>
      </c>
      <c r="Q120" s="105">
        <v>0</v>
      </c>
      <c r="R120" s="105">
        <f t="shared" si="16"/>
        <v>2374024.8208528073</v>
      </c>
      <c r="S120" s="85">
        <v>806581</v>
      </c>
      <c r="T120" s="109">
        <v>148797.64000000001</v>
      </c>
    </row>
    <row r="121" spans="1:20" ht="13.5" customHeight="1" x14ac:dyDescent="0.3">
      <c r="A121" s="101" t="s">
        <v>166</v>
      </c>
      <c r="B121" s="102">
        <v>52001</v>
      </c>
      <c r="C121" s="98">
        <v>137</v>
      </c>
      <c r="D121" s="98">
        <v>1</v>
      </c>
      <c r="E121" s="98">
        <f t="shared" si="17"/>
        <v>138</v>
      </c>
      <c r="F121" s="104">
        <v>0</v>
      </c>
      <c r="G121" s="99">
        <f t="shared" si="18"/>
        <v>0</v>
      </c>
      <c r="H121" s="104">
        <f t="shared" si="21"/>
        <v>12</v>
      </c>
      <c r="I121" s="104">
        <f t="shared" si="19"/>
        <v>11.5</v>
      </c>
      <c r="J121" s="104">
        <f t="shared" si="11"/>
        <v>0</v>
      </c>
      <c r="K121" s="104">
        <f t="shared" si="12"/>
        <v>11.5</v>
      </c>
      <c r="L121" s="105">
        <f t="shared" si="13"/>
        <v>76960.432499999995</v>
      </c>
      <c r="M121" s="105">
        <f t="shared" si="14"/>
        <v>885044.97374999989</v>
      </c>
      <c r="N121" s="105">
        <f t="shared" si="20"/>
        <v>343220.44082024996</v>
      </c>
      <c r="O121" s="105">
        <v>0</v>
      </c>
      <c r="P121" s="105">
        <f t="shared" si="15"/>
        <v>1228265.4145702498</v>
      </c>
      <c r="Q121" s="105">
        <v>0</v>
      </c>
      <c r="R121" s="105">
        <f t="shared" si="16"/>
        <v>1228265.4145702498</v>
      </c>
      <c r="S121" s="85">
        <v>554669</v>
      </c>
      <c r="T121" s="109">
        <v>130036.70999999999</v>
      </c>
    </row>
    <row r="122" spans="1:20" ht="13.5" customHeight="1" x14ac:dyDescent="0.3">
      <c r="A122" s="101" t="s">
        <v>236</v>
      </c>
      <c r="B122" s="102">
        <v>52004</v>
      </c>
      <c r="C122" s="98">
        <v>284.3</v>
      </c>
      <c r="D122" s="98">
        <v>0.1</v>
      </c>
      <c r="E122" s="98">
        <f t="shared" si="17"/>
        <v>284.40000000000003</v>
      </c>
      <c r="F122" s="104">
        <v>0</v>
      </c>
      <c r="G122" s="99">
        <f t="shared" si="18"/>
        <v>0</v>
      </c>
      <c r="H122" s="104">
        <f t="shared" si="21"/>
        <v>12.632999999999999</v>
      </c>
      <c r="I122" s="104">
        <f t="shared" si="19"/>
        <v>22.512467347423421</v>
      </c>
      <c r="J122" s="104">
        <f t="shared" si="11"/>
        <v>0</v>
      </c>
      <c r="K122" s="104">
        <f t="shared" si="12"/>
        <v>22.512467347423421</v>
      </c>
      <c r="L122" s="105">
        <f t="shared" si="13"/>
        <v>76960.432499999995</v>
      </c>
      <c r="M122" s="105">
        <f t="shared" si="14"/>
        <v>1732569.2236998342</v>
      </c>
      <c r="N122" s="105">
        <f t="shared" si="20"/>
        <v>671890.34495079564</v>
      </c>
      <c r="O122" s="105">
        <v>0</v>
      </c>
      <c r="P122" s="105">
        <f t="shared" si="15"/>
        <v>2404459.5686506298</v>
      </c>
      <c r="Q122" s="105">
        <v>0</v>
      </c>
      <c r="R122" s="105">
        <f t="shared" si="16"/>
        <v>2404459.5686506298</v>
      </c>
      <c r="S122" s="85">
        <v>965610</v>
      </c>
      <c r="T122" s="109">
        <v>200464.56999999998</v>
      </c>
    </row>
    <row r="123" spans="1:20" ht="13.5" customHeight="1" x14ac:dyDescent="0.3">
      <c r="A123" s="101" t="s">
        <v>210</v>
      </c>
      <c r="B123" s="102">
        <v>53001</v>
      </c>
      <c r="C123" s="98">
        <v>221</v>
      </c>
      <c r="D123" s="98">
        <v>0</v>
      </c>
      <c r="E123" s="98">
        <f t="shared" si="17"/>
        <v>221</v>
      </c>
      <c r="F123" s="104">
        <v>0.25</v>
      </c>
      <c r="G123" s="99">
        <f t="shared" si="18"/>
        <v>1</v>
      </c>
      <c r="H123" s="104">
        <f t="shared" si="21"/>
        <v>12.157500000000001</v>
      </c>
      <c r="I123" s="104">
        <f t="shared" si="19"/>
        <v>18.178079374871476</v>
      </c>
      <c r="J123" s="104">
        <f t="shared" si="11"/>
        <v>2.0563438206868186E-2</v>
      </c>
      <c r="K123" s="104">
        <f t="shared" si="12"/>
        <v>18.198642813078344</v>
      </c>
      <c r="L123" s="105">
        <f t="shared" si="13"/>
        <v>76960.432499999995</v>
      </c>
      <c r="M123" s="105">
        <f t="shared" si="14"/>
        <v>1400575.4218075259</v>
      </c>
      <c r="N123" s="105">
        <f t="shared" si="20"/>
        <v>543143.14857695857</v>
      </c>
      <c r="O123" s="105">
        <v>0</v>
      </c>
      <c r="P123" s="105">
        <f t="shared" si="15"/>
        <v>1943718.5703844845</v>
      </c>
      <c r="Q123" s="105">
        <v>0</v>
      </c>
      <c r="R123" s="105">
        <f t="shared" si="16"/>
        <v>1943718.5703844845</v>
      </c>
      <c r="S123" s="85">
        <v>721161</v>
      </c>
      <c r="T123" s="109">
        <v>186156.9</v>
      </c>
    </row>
    <row r="124" spans="1:20" ht="13.5" customHeight="1" x14ac:dyDescent="0.3">
      <c r="A124" s="101" t="s">
        <v>224</v>
      </c>
      <c r="B124" s="102">
        <v>53002</v>
      </c>
      <c r="C124" s="98">
        <v>105</v>
      </c>
      <c r="D124" s="98">
        <v>0</v>
      </c>
      <c r="E124" s="98">
        <f t="shared" si="17"/>
        <v>105</v>
      </c>
      <c r="F124" s="104">
        <v>0.25</v>
      </c>
      <c r="G124" s="99">
        <f t="shared" si="18"/>
        <v>1</v>
      </c>
      <c r="H124" s="104">
        <f t="shared" si="21"/>
        <v>12</v>
      </c>
      <c r="I124" s="104">
        <f t="shared" si="19"/>
        <v>8.75</v>
      </c>
      <c r="J124" s="104">
        <f t="shared" si="11"/>
        <v>2.0833333333333332E-2</v>
      </c>
      <c r="K124" s="104">
        <f t="shared" si="12"/>
        <v>8.7708333333333339</v>
      </c>
      <c r="L124" s="105">
        <f t="shared" si="13"/>
        <v>76960.432499999995</v>
      </c>
      <c r="M124" s="105">
        <f t="shared" si="14"/>
        <v>675007.12671874999</v>
      </c>
      <c r="N124" s="105">
        <f t="shared" si="20"/>
        <v>261767.76374153123</v>
      </c>
      <c r="O124" s="105">
        <v>0</v>
      </c>
      <c r="P124" s="105">
        <f t="shared" si="15"/>
        <v>936774.89046028117</v>
      </c>
      <c r="Q124" s="105">
        <v>720976.359375</v>
      </c>
      <c r="R124" s="105">
        <f t="shared" si="16"/>
        <v>720976.359375</v>
      </c>
      <c r="S124" s="85">
        <v>1016726</v>
      </c>
      <c r="T124" s="109">
        <v>154848.12</v>
      </c>
    </row>
    <row r="125" spans="1:20" ht="13.5" customHeight="1" x14ac:dyDescent="0.3">
      <c r="A125" s="101" t="s">
        <v>273</v>
      </c>
      <c r="B125" s="102">
        <v>54002</v>
      </c>
      <c r="C125" s="98">
        <v>949</v>
      </c>
      <c r="D125" s="98">
        <v>0.1</v>
      </c>
      <c r="E125" s="98">
        <f t="shared" si="17"/>
        <v>949.1</v>
      </c>
      <c r="F125" s="104">
        <v>4.25</v>
      </c>
      <c r="G125" s="99">
        <f t="shared" si="18"/>
        <v>17</v>
      </c>
      <c r="H125" s="104">
        <f t="shared" si="21"/>
        <v>15</v>
      </c>
      <c r="I125" s="104">
        <f t="shared" si="19"/>
        <v>63.273333333333333</v>
      </c>
      <c r="J125" s="104">
        <f t="shared" si="11"/>
        <v>0.28333333333333333</v>
      </c>
      <c r="K125" s="104">
        <f t="shared" si="12"/>
        <v>63.556666666666665</v>
      </c>
      <c r="L125" s="105">
        <f t="shared" si="13"/>
        <v>76960.432499999995</v>
      </c>
      <c r="M125" s="105">
        <f t="shared" si="14"/>
        <v>4891348.5549249994</v>
      </c>
      <c r="N125" s="105">
        <f t="shared" si="20"/>
        <v>1896864.9695999147</v>
      </c>
      <c r="O125" s="105">
        <v>0</v>
      </c>
      <c r="P125" s="105">
        <f t="shared" si="15"/>
        <v>6788213.5245249141</v>
      </c>
      <c r="Q125" s="105">
        <v>0</v>
      </c>
      <c r="R125" s="105">
        <f t="shared" si="16"/>
        <v>6788213.5245249141</v>
      </c>
      <c r="S125" s="85">
        <v>2184618</v>
      </c>
      <c r="T125" s="109">
        <v>840102.23</v>
      </c>
    </row>
    <row r="126" spans="1:20" ht="13.5" customHeight="1" x14ac:dyDescent="0.3">
      <c r="A126" s="101" t="s">
        <v>266</v>
      </c>
      <c r="B126" s="102">
        <v>54004</v>
      </c>
      <c r="C126" s="98">
        <v>228</v>
      </c>
      <c r="D126" s="98">
        <v>0</v>
      </c>
      <c r="E126" s="98">
        <f t="shared" si="17"/>
        <v>228</v>
      </c>
      <c r="F126" s="104">
        <v>4.25</v>
      </c>
      <c r="G126" s="99">
        <f t="shared" si="18"/>
        <v>17</v>
      </c>
      <c r="H126" s="104">
        <f t="shared" si="21"/>
        <v>12.21</v>
      </c>
      <c r="I126" s="104">
        <f t="shared" si="19"/>
        <v>18.67321867321867</v>
      </c>
      <c r="J126" s="104">
        <f t="shared" si="11"/>
        <v>0.34807534807534807</v>
      </c>
      <c r="K126" s="104">
        <f t="shared" si="12"/>
        <v>19.021294021294018</v>
      </c>
      <c r="L126" s="105">
        <f t="shared" si="13"/>
        <v>76960.432499999995</v>
      </c>
      <c r="M126" s="105">
        <f t="shared" si="14"/>
        <v>1463887.0145884517</v>
      </c>
      <c r="N126" s="105">
        <f t="shared" si="20"/>
        <v>567695.38425740157</v>
      </c>
      <c r="O126" s="105">
        <v>0</v>
      </c>
      <c r="P126" s="105">
        <f t="shared" si="15"/>
        <v>2031582.3988458533</v>
      </c>
      <c r="Q126" s="105">
        <v>0</v>
      </c>
      <c r="R126" s="105">
        <f t="shared" si="16"/>
        <v>2031582.3988458533</v>
      </c>
      <c r="S126" s="85">
        <v>483846</v>
      </c>
      <c r="T126" s="109">
        <v>105032.53</v>
      </c>
    </row>
    <row r="127" spans="1:20" ht="13.5" customHeight="1" x14ac:dyDescent="0.3">
      <c r="A127" s="101" t="s">
        <v>278</v>
      </c>
      <c r="B127" s="102">
        <v>54006</v>
      </c>
      <c r="C127" s="98">
        <v>172</v>
      </c>
      <c r="D127" s="98">
        <v>0</v>
      </c>
      <c r="E127" s="98">
        <f t="shared" si="17"/>
        <v>172</v>
      </c>
      <c r="F127" s="104">
        <v>0</v>
      </c>
      <c r="G127" s="99">
        <f t="shared" si="18"/>
        <v>0</v>
      </c>
      <c r="H127" s="104">
        <f t="shared" si="21"/>
        <v>12</v>
      </c>
      <c r="I127" s="104">
        <f t="shared" si="19"/>
        <v>14.333333333333334</v>
      </c>
      <c r="J127" s="104">
        <f t="shared" si="11"/>
        <v>0</v>
      </c>
      <c r="K127" s="104">
        <f t="shared" si="12"/>
        <v>14.333333333333334</v>
      </c>
      <c r="L127" s="105">
        <f t="shared" si="13"/>
        <v>76960.432499999995</v>
      </c>
      <c r="M127" s="105">
        <f t="shared" si="14"/>
        <v>1103099.5325</v>
      </c>
      <c r="N127" s="105">
        <f t="shared" si="20"/>
        <v>427781.99870349996</v>
      </c>
      <c r="O127" s="105">
        <v>0</v>
      </c>
      <c r="P127" s="105">
        <f t="shared" si="15"/>
        <v>1530881.5312035</v>
      </c>
      <c r="Q127" s="105">
        <v>0</v>
      </c>
      <c r="R127" s="105">
        <f t="shared" si="16"/>
        <v>1530881.5312035</v>
      </c>
      <c r="S127" s="85">
        <v>342833</v>
      </c>
      <c r="T127" s="109">
        <v>93792.459999999992</v>
      </c>
    </row>
    <row r="128" spans="1:20" ht="13.5" customHeight="1" x14ac:dyDescent="0.3">
      <c r="A128" s="101" t="s">
        <v>298</v>
      </c>
      <c r="B128" s="102">
        <v>54007</v>
      </c>
      <c r="C128" s="98">
        <v>217</v>
      </c>
      <c r="D128" s="98">
        <v>0</v>
      </c>
      <c r="E128" s="98">
        <f t="shared" si="17"/>
        <v>217</v>
      </c>
      <c r="F128" s="104">
        <v>0</v>
      </c>
      <c r="G128" s="99">
        <f t="shared" si="18"/>
        <v>0</v>
      </c>
      <c r="H128" s="104">
        <f t="shared" si="21"/>
        <v>12.1275</v>
      </c>
      <c r="I128" s="104">
        <f t="shared" si="19"/>
        <v>17.893217893217894</v>
      </c>
      <c r="J128" s="104">
        <f t="shared" si="11"/>
        <v>0</v>
      </c>
      <c r="K128" s="104">
        <f t="shared" si="12"/>
        <v>17.893217893217894</v>
      </c>
      <c r="L128" s="105">
        <f t="shared" si="13"/>
        <v>76960.432499999995</v>
      </c>
      <c r="M128" s="105">
        <f t="shared" si="14"/>
        <v>1377069.7878787878</v>
      </c>
      <c r="N128" s="105">
        <f t="shared" si="20"/>
        <v>534027.66373939393</v>
      </c>
      <c r="O128" s="105">
        <v>0</v>
      </c>
      <c r="P128" s="105">
        <f t="shared" si="15"/>
        <v>1911097.4516181818</v>
      </c>
      <c r="Q128" s="105">
        <v>0</v>
      </c>
      <c r="R128" s="105">
        <f t="shared" si="16"/>
        <v>1911097.4516181818</v>
      </c>
      <c r="S128" s="85">
        <v>654424</v>
      </c>
      <c r="T128" s="109">
        <v>159379.63999999998</v>
      </c>
    </row>
    <row r="129" spans="1:20" ht="13.5" customHeight="1" x14ac:dyDescent="0.3">
      <c r="A129" s="101" t="s">
        <v>301</v>
      </c>
      <c r="B129" s="102">
        <v>55004</v>
      </c>
      <c r="C129" s="98">
        <v>249.25</v>
      </c>
      <c r="D129" s="98">
        <v>0</v>
      </c>
      <c r="E129" s="98">
        <f t="shared" si="17"/>
        <v>249.25</v>
      </c>
      <c r="F129" s="104">
        <v>0.25</v>
      </c>
      <c r="G129" s="99">
        <f t="shared" si="18"/>
        <v>1</v>
      </c>
      <c r="H129" s="104">
        <f t="shared" si="21"/>
        <v>12.369375</v>
      </c>
      <c r="I129" s="104">
        <f t="shared" si="19"/>
        <v>20.150573493001868</v>
      </c>
      <c r="J129" s="104">
        <f t="shared" si="11"/>
        <v>2.0211207114344903E-2</v>
      </c>
      <c r="K129" s="104">
        <f t="shared" si="12"/>
        <v>20.170784700116211</v>
      </c>
      <c r="L129" s="105">
        <f t="shared" si="13"/>
        <v>76960.432499999995</v>
      </c>
      <c r="M129" s="105">
        <f t="shared" si="14"/>
        <v>1552352.3143853263</v>
      </c>
      <c r="N129" s="105">
        <f t="shared" si="20"/>
        <v>602002.22751862952</v>
      </c>
      <c r="O129" s="105">
        <v>0</v>
      </c>
      <c r="P129" s="105">
        <f t="shared" si="15"/>
        <v>2154354.5419039559</v>
      </c>
      <c r="Q129" s="105">
        <v>0</v>
      </c>
      <c r="R129" s="105">
        <f t="shared" si="16"/>
        <v>2154354.5419039559</v>
      </c>
      <c r="S129" s="85">
        <v>546718</v>
      </c>
      <c r="T129" s="109">
        <v>76664.75</v>
      </c>
    </row>
    <row r="130" spans="1:20" ht="13.5" customHeight="1" x14ac:dyDescent="0.3">
      <c r="A130" s="101" t="s">
        <v>268</v>
      </c>
      <c r="B130" s="102">
        <v>55005</v>
      </c>
      <c r="C130" s="98">
        <v>198</v>
      </c>
      <c r="D130" s="98">
        <v>0</v>
      </c>
      <c r="E130" s="98">
        <f t="shared" si="17"/>
        <v>198</v>
      </c>
      <c r="F130" s="104">
        <v>6.25</v>
      </c>
      <c r="G130" s="99">
        <f t="shared" si="18"/>
        <v>25</v>
      </c>
      <c r="H130" s="104">
        <f t="shared" si="21"/>
        <v>12</v>
      </c>
      <c r="I130" s="104">
        <f t="shared" si="19"/>
        <v>16.5</v>
      </c>
      <c r="J130" s="104">
        <f t="shared" si="11"/>
        <v>0.52083333333333337</v>
      </c>
      <c r="K130" s="104">
        <f t="shared" si="12"/>
        <v>17.020833333333332</v>
      </c>
      <c r="L130" s="105">
        <f t="shared" si="13"/>
        <v>76960.432499999995</v>
      </c>
      <c r="M130" s="105">
        <f t="shared" si="14"/>
        <v>1309930.6948437497</v>
      </c>
      <c r="N130" s="105">
        <f t="shared" si="20"/>
        <v>507991.12346040615</v>
      </c>
      <c r="O130" s="105">
        <v>0</v>
      </c>
      <c r="P130" s="105">
        <f t="shared" si="15"/>
        <v>1817921.818304156</v>
      </c>
      <c r="Q130" s="105">
        <v>0</v>
      </c>
      <c r="R130" s="105">
        <f t="shared" si="16"/>
        <v>1817921.818304156</v>
      </c>
      <c r="S130" s="85">
        <v>786290</v>
      </c>
      <c r="T130" s="109">
        <v>77480.88</v>
      </c>
    </row>
    <row r="131" spans="1:20" ht="13.5" customHeight="1" x14ac:dyDescent="0.3">
      <c r="A131" s="101" t="s">
        <v>190</v>
      </c>
      <c r="B131" s="102">
        <v>56002</v>
      </c>
      <c r="C131" s="98">
        <v>140</v>
      </c>
      <c r="D131" s="98">
        <v>0</v>
      </c>
      <c r="E131" s="98">
        <f t="shared" si="17"/>
        <v>140</v>
      </c>
      <c r="F131" s="104">
        <v>4.5</v>
      </c>
      <c r="G131" s="99">
        <f t="shared" si="18"/>
        <v>18</v>
      </c>
      <c r="H131" s="104">
        <f t="shared" si="21"/>
        <v>12</v>
      </c>
      <c r="I131" s="104">
        <f t="shared" si="19"/>
        <v>11.666666666666666</v>
      </c>
      <c r="J131" s="104">
        <f t="shared" si="11"/>
        <v>0.375</v>
      </c>
      <c r="K131" s="104">
        <f t="shared" si="12"/>
        <v>12.041666666666666</v>
      </c>
      <c r="L131" s="105">
        <f t="shared" si="13"/>
        <v>76960.432499999995</v>
      </c>
      <c r="M131" s="105">
        <f t="shared" si="14"/>
        <v>926731.87468749995</v>
      </c>
      <c r="N131" s="105">
        <f t="shared" si="20"/>
        <v>359386.62100381247</v>
      </c>
      <c r="O131" s="105">
        <v>0</v>
      </c>
      <c r="P131" s="105">
        <f t="shared" si="15"/>
        <v>1286118.4956913125</v>
      </c>
      <c r="Q131" s="105">
        <v>0</v>
      </c>
      <c r="R131" s="105">
        <f t="shared" si="16"/>
        <v>1286118.4956913125</v>
      </c>
      <c r="S131" s="85">
        <v>839332</v>
      </c>
      <c r="T131" s="109">
        <v>102434.05</v>
      </c>
    </row>
    <row r="132" spans="1:20" ht="13.5" customHeight="1" x14ac:dyDescent="0.3">
      <c r="A132" s="101" t="s">
        <v>265</v>
      </c>
      <c r="B132" s="102">
        <v>56004</v>
      </c>
      <c r="C132" s="98">
        <v>510.15</v>
      </c>
      <c r="D132" s="98">
        <v>0</v>
      </c>
      <c r="E132" s="98">
        <f t="shared" si="17"/>
        <v>510.15</v>
      </c>
      <c r="F132" s="104">
        <v>0.5</v>
      </c>
      <c r="G132" s="99">
        <f t="shared" si="18"/>
        <v>2</v>
      </c>
      <c r="H132" s="104">
        <f t="shared" si="21"/>
        <v>14.326124999999999</v>
      </c>
      <c r="I132" s="104">
        <f t="shared" si="19"/>
        <v>35.609768866319399</v>
      </c>
      <c r="J132" s="104">
        <f t="shared" si="11"/>
        <v>3.4901273023933546E-2</v>
      </c>
      <c r="K132" s="104">
        <f t="shared" si="12"/>
        <v>35.644670139343333</v>
      </c>
      <c r="L132" s="105">
        <f t="shared" si="13"/>
        <v>76960.432499999995</v>
      </c>
      <c r="M132" s="105">
        <f t="shared" si="14"/>
        <v>2743229.2302436982</v>
      </c>
      <c r="N132" s="105">
        <f t="shared" si="20"/>
        <v>1063824.2954885061</v>
      </c>
      <c r="O132" s="105">
        <v>0</v>
      </c>
      <c r="P132" s="105">
        <f t="shared" si="15"/>
        <v>3807053.5257322043</v>
      </c>
      <c r="Q132" s="105">
        <v>0</v>
      </c>
      <c r="R132" s="105">
        <f t="shared" si="16"/>
        <v>3807053.5257322043</v>
      </c>
      <c r="S132" s="85">
        <v>1614920</v>
      </c>
      <c r="T132" s="109">
        <v>153579.29</v>
      </c>
    </row>
    <row r="133" spans="1:20" ht="13.5" customHeight="1" x14ac:dyDescent="0.3">
      <c r="A133" s="101" t="s">
        <v>222</v>
      </c>
      <c r="B133" s="102">
        <v>56006</v>
      </c>
      <c r="C133" s="98">
        <v>224</v>
      </c>
      <c r="D133" s="98">
        <v>0.1</v>
      </c>
      <c r="E133" s="98">
        <f t="shared" si="17"/>
        <v>224.1</v>
      </c>
      <c r="F133" s="104">
        <v>3</v>
      </c>
      <c r="G133" s="99">
        <f t="shared" si="18"/>
        <v>12</v>
      </c>
      <c r="H133" s="104">
        <f t="shared" si="21"/>
        <v>12.18075</v>
      </c>
      <c r="I133" s="104">
        <f t="shared" si="19"/>
        <v>18.397881903823656</v>
      </c>
      <c r="J133" s="104">
        <f t="shared" si="11"/>
        <v>0.24629025306323502</v>
      </c>
      <c r="K133" s="104">
        <f t="shared" si="12"/>
        <v>18.644172156886892</v>
      </c>
      <c r="L133" s="105">
        <f t="shared" si="13"/>
        <v>76960.432499999995</v>
      </c>
      <c r="M133" s="105">
        <f t="shared" si="14"/>
        <v>1434863.552798473</v>
      </c>
      <c r="N133" s="105">
        <f t="shared" si="20"/>
        <v>556440.08577524778</v>
      </c>
      <c r="O133" s="105">
        <v>0</v>
      </c>
      <c r="P133" s="105">
        <f t="shared" si="15"/>
        <v>1991303.6385737208</v>
      </c>
      <c r="Q133" s="105">
        <v>0</v>
      </c>
      <c r="R133" s="105">
        <f t="shared" si="16"/>
        <v>1991303.6385737208</v>
      </c>
      <c r="S133" s="85">
        <v>1292041</v>
      </c>
      <c r="T133" s="109">
        <v>152393.92000000001</v>
      </c>
    </row>
    <row r="134" spans="1:20" ht="13.5" customHeight="1" x14ac:dyDescent="0.3">
      <c r="A134" s="101" t="s">
        <v>255</v>
      </c>
      <c r="B134" s="102">
        <v>56007</v>
      </c>
      <c r="C134" s="98">
        <v>346.1</v>
      </c>
      <c r="D134" s="98">
        <v>0</v>
      </c>
      <c r="E134" s="98">
        <f t="shared" si="17"/>
        <v>346.1</v>
      </c>
      <c r="F134" s="104">
        <v>4</v>
      </c>
      <c r="G134" s="99">
        <f t="shared" si="18"/>
        <v>16</v>
      </c>
      <c r="H134" s="104">
        <f t="shared" si="21"/>
        <v>13.095750000000001</v>
      </c>
      <c r="I134" s="104">
        <f t="shared" si="19"/>
        <v>26.428421434434835</v>
      </c>
      <c r="J134" s="104">
        <f t="shared" ref="J134:J153" si="22">F134/H134</f>
        <v>0.30544260542542429</v>
      </c>
      <c r="K134" s="104">
        <f t="shared" ref="K134:K153" si="23">I134+J134</f>
        <v>26.733864039860258</v>
      </c>
      <c r="L134" s="105">
        <f t="shared" ref="L134:L153" si="24">$L$4*1.29</f>
        <v>76960.432499999995</v>
      </c>
      <c r="M134" s="105">
        <f t="shared" ref="M134:M153" si="25">K134*L134</f>
        <v>2057449.7389038426</v>
      </c>
      <c r="N134" s="105">
        <f t="shared" si="20"/>
        <v>797879.00874691014</v>
      </c>
      <c r="O134" s="105">
        <v>0</v>
      </c>
      <c r="P134" s="105">
        <f t="shared" ref="P134:P153" si="26">M134+N134+O134</f>
        <v>2855328.7476507528</v>
      </c>
      <c r="Q134" s="105">
        <v>0</v>
      </c>
      <c r="R134" s="105">
        <f t="shared" ref="R134:R153" si="27">IF(Q134=0,P134,Q134)</f>
        <v>2855328.7476507528</v>
      </c>
      <c r="S134" s="85">
        <v>1407218</v>
      </c>
      <c r="T134" s="109">
        <v>138933.19</v>
      </c>
    </row>
    <row r="135" spans="1:20" ht="13.5" customHeight="1" x14ac:dyDescent="0.3">
      <c r="A135" s="101" t="s">
        <v>277</v>
      </c>
      <c r="B135" s="102">
        <v>57001</v>
      </c>
      <c r="C135" s="98">
        <v>421.22</v>
      </c>
      <c r="D135" s="98">
        <v>0.2</v>
      </c>
      <c r="E135" s="98">
        <f t="shared" ref="E135:E153" si="28">SUM(C135:D135)</f>
        <v>421.42</v>
      </c>
      <c r="F135" s="104">
        <v>0</v>
      </c>
      <c r="G135" s="99">
        <f t="shared" ref="G135:G153" si="29">F135/0.25</f>
        <v>0</v>
      </c>
      <c r="H135" s="104">
        <f t="shared" si="21"/>
        <v>13.66065</v>
      </c>
      <c r="I135" s="104">
        <f t="shared" ref="I135:I153" si="30">(C135+D135)/H135</f>
        <v>30.849190924297162</v>
      </c>
      <c r="J135" s="104">
        <f t="shared" si="22"/>
        <v>0</v>
      </c>
      <c r="K135" s="104">
        <f t="shared" si="23"/>
        <v>30.849190924297162</v>
      </c>
      <c r="L135" s="105">
        <f t="shared" si="24"/>
        <v>76960.432499999995</v>
      </c>
      <c r="M135" s="105">
        <f t="shared" si="25"/>
        <v>2374167.0758089842</v>
      </c>
      <c r="N135" s="105">
        <f t="shared" ref="N135:N153" si="31">M135*0.3878</f>
        <v>920701.99199872406</v>
      </c>
      <c r="O135" s="105">
        <v>0</v>
      </c>
      <c r="P135" s="105">
        <f t="shared" si="26"/>
        <v>3294869.0678077084</v>
      </c>
      <c r="Q135" s="105">
        <v>0</v>
      </c>
      <c r="R135" s="105">
        <f t="shared" si="27"/>
        <v>3294869.0678077084</v>
      </c>
      <c r="S135" s="85">
        <v>1840478</v>
      </c>
      <c r="T135" s="109">
        <v>202165.69</v>
      </c>
    </row>
    <row r="136" spans="1:20" ht="13.5" customHeight="1" x14ac:dyDescent="0.3">
      <c r="A136" s="101" t="s">
        <v>155</v>
      </c>
      <c r="B136" s="102">
        <v>58003</v>
      </c>
      <c r="C136" s="98">
        <v>228.01</v>
      </c>
      <c r="D136" s="98">
        <v>0.08</v>
      </c>
      <c r="E136" s="98">
        <f t="shared" si="28"/>
        <v>228.09</v>
      </c>
      <c r="F136" s="104">
        <v>1</v>
      </c>
      <c r="G136" s="99">
        <f t="shared" si="29"/>
        <v>4</v>
      </c>
      <c r="H136" s="104">
        <f t="shared" ref="H136:H153" si="32">IF((C136+D136)&lt;200,12,IF((C136+D136)&gt;600,15,((C136+D136)*0.0075)+10.5))</f>
        <v>12.210675</v>
      </c>
      <c r="I136" s="104">
        <f t="shared" si="30"/>
        <v>18.679557026945684</v>
      </c>
      <c r="J136" s="104">
        <f t="shared" si="22"/>
        <v>8.1895554504562609E-2</v>
      </c>
      <c r="K136" s="104">
        <f t="shared" si="23"/>
        <v>18.761452581450246</v>
      </c>
      <c r="L136" s="105">
        <f t="shared" si="24"/>
        <v>76960.432499999995</v>
      </c>
      <c r="M136" s="105">
        <f t="shared" si="25"/>
        <v>1443889.5049966522</v>
      </c>
      <c r="N136" s="105">
        <f t="shared" si="31"/>
        <v>559940.35003770166</v>
      </c>
      <c r="O136" s="105">
        <v>0</v>
      </c>
      <c r="P136" s="105">
        <f t="shared" si="26"/>
        <v>2003829.8550343539</v>
      </c>
      <c r="Q136" s="105">
        <v>0</v>
      </c>
      <c r="R136" s="105">
        <f t="shared" si="27"/>
        <v>2003829.8550343539</v>
      </c>
      <c r="S136" s="85">
        <v>2281145</v>
      </c>
      <c r="T136" s="109">
        <v>418648.29000000004</v>
      </c>
    </row>
    <row r="137" spans="1:20" ht="13.5" customHeight="1" x14ac:dyDescent="0.3">
      <c r="A137" s="101" t="s">
        <v>299</v>
      </c>
      <c r="B137" s="102">
        <v>59002</v>
      </c>
      <c r="C137" s="98">
        <v>782</v>
      </c>
      <c r="D137" s="98">
        <v>0.1</v>
      </c>
      <c r="E137" s="98">
        <f t="shared" si="28"/>
        <v>782.1</v>
      </c>
      <c r="F137" s="104">
        <v>0</v>
      </c>
      <c r="G137" s="99">
        <f t="shared" si="29"/>
        <v>0</v>
      </c>
      <c r="H137" s="104">
        <f t="shared" si="32"/>
        <v>15</v>
      </c>
      <c r="I137" s="104">
        <f t="shared" si="30"/>
        <v>52.14</v>
      </c>
      <c r="J137" s="104">
        <f t="shared" si="22"/>
        <v>0</v>
      </c>
      <c r="K137" s="104">
        <f t="shared" si="23"/>
        <v>52.14</v>
      </c>
      <c r="L137" s="105">
        <f t="shared" si="24"/>
        <v>76960.432499999995</v>
      </c>
      <c r="M137" s="105">
        <f t="shared" si="25"/>
        <v>4012716.9505499997</v>
      </c>
      <c r="N137" s="105">
        <f t="shared" si="31"/>
        <v>1556131.6334232897</v>
      </c>
      <c r="O137" s="105">
        <v>0</v>
      </c>
      <c r="P137" s="105">
        <f t="shared" si="26"/>
        <v>5568848.5839732895</v>
      </c>
      <c r="Q137" s="105">
        <v>0</v>
      </c>
      <c r="R137" s="105">
        <f t="shared" si="27"/>
        <v>5568848.5839732895</v>
      </c>
      <c r="S137" s="85">
        <v>1881797</v>
      </c>
      <c r="T137" s="109">
        <v>327406.88999999996</v>
      </c>
    </row>
    <row r="138" spans="1:20" ht="13.5" customHeight="1" x14ac:dyDescent="0.3">
      <c r="A138" s="101" t="s">
        <v>182</v>
      </c>
      <c r="B138" s="102">
        <v>59003</v>
      </c>
      <c r="C138" s="98">
        <v>149</v>
      </c>
      <c r="D138" s="98">
        <v>0.30000000000000004</v>
      </c>
      <c r="E138" s="98">
        <f t="shared" si="28"/>
        <v>149.30000000000001</v>
      </c>
      <c r="F138" s="104">
        <v>0</v>
      </c>
      <c r="G138" s="99">
        <f t="shared" si="29"/>
        <v>0</v>
      </c>
      <c r="H138" s="104">
        <f t="shared" si="32"/>
        <v>12</v>
      </c>
      <c r="I138" s="104">
        <f t="shared" si="30"/>
        <v>12.441666666666668</v>
      </c>
      <c r="J138" s="104">
        <f t="shared" si="22"/>
        <v>0</v>
      </c>
      <c r="K138" s="104">
        <f t="shared" si="23"/>
        <v>12.441666666666668</v>
      </c>
      <c r="L138" s="105">
        <f t="shared" si="24"/>
        <v>76960.432499999995</v>
      </c>
      <c r="M138" s="105">
        <f t="shared" si="25"/>
        <v>957516.04768750002</v>
      </c>
      <c r="N138" s="105">
        <f t="shared" si="31"/>
        <v>371324.72329321248</v>
      </c>
      <c r="O138" s="105">
        <v>0</v>
      </c>
      <c r="P138" s="105">
        <f t="shared" si="26"/>
        <v>1328840.7709807125</v>
      </c>
      <c r="Q138" s="105">
        <v>0</v>
      </c>
      <c r="R138" s="105">
        <f t="shared" si="27"/>
        <v>1328840.7709807125</v>
      </c>
      <c r="S138" s="85">
        <v>550636</v>
      </c>
      <c r="T138" s="109">
        <v>91981.65</v>
      </c>
    </row>
    <row r="139" spans="1:20" ht="13.5" customHeight="1" x14ac:dyDescent="0.3">
      <c r="A139" s="101" t="s">
        <v>177</v>
      </c>
      <c r="B139" s="102">
        <v>60001</v>
      </c>
      <c r="C139" s="98">
        <v>266</v>
      </c>
      <c r="D139" s="98">
        <v>0</v>
      </c>
      <c r="E139" s="98">
        <f t="shared" si="28"/>
        <v>266</v>
      </c>
      <c r="F139" s="104">
        <v>0.25</v>
      </c>
      <c r="G139" s="99">
        <f t="shared" si="29"/>
        <v>1</v>
      </c>
      <c r="H139" s="104">
        <f t="shared" si="32"/>
        <v>12.494999999999999</v>
      </c>
      <c r="I139" s="104">
        <f t="shared" si="30"/>
        <v>21.288515406162468</v>
      </c>
      <c r="J139" s="104">
        <f t="shared" si="22"/>
        <v>2.0008003201280513E-2</v>
      </c>
      <c r="K139" s="104">
        <f t="shared" si="23"/>
        <v>21.308523409363747</v>
      </c>
      <c r="L139" s="105">
        <f t="shared" si="24"/>
        <v>76960.432499999995</v>
      </c>
      <c r="M139" s="105">
        <f t="shared" si="25"/>
        <v>1639913.1775210085</v>
      </c>
      <c r="N139" s="105">
        <f t="shared" si="31"/>
        <v>635958.33024264709</v>
      </c>
      <c r="O139" s="105">
        <v>0</v>
      </c>
      <c r="P139" s="105">
        <f t="shared" si="26"/>
        <v>2275871.5077636559</v>
      </c>
      <c r="Q139" s="105">
        <v>0</v>
      </c>
      <c r="R139" s="105">
        <f t="shared" si="27"/>
        <v>2275871.5077636559</v>
      </c>
      <c r="S139" s="85">
        <v>703686</v>
      </c>
      <c r="T139" s="109">
        <v>95660.810000000012</v>
      </c>
    </row>
    <row r="140" spans="1:20" ht="13.5" customHeight="1" x14ac:dyDescent="0.3">
      <c r="A140" s="101" t="s">
        <v>241</v>
      </c>
      <c r="B140" s="102">
        <v>60003</v>
      </c>
      <c r="C140" s="98">
        <v>203</v>
      </c>
      <c r="D140" s="98">
        <v>0</v>
      </c>
      <c r="E140" s="98">
        <f t="shared" si="28"/>
        <v>203</v>
      </c>
      <c r="F140" s="104">
        <v>1</v>
      </c>
      <c r="G140" s="99">
        <f t="shared" si="29"/>
        <v>4</v>
      </c>
      <c r="H140" s="104">
        <f t="shared" si="32"/>
        <v>12.022500000000001</v>
      </c>
      <c r="I140" s="104">
        <f t="shared" si="30"/>
        <v>16.885007278020378</v>
      </c>
      <c r="J140" s="104">
        <f t="shared" si="22"/>
        <v>8.3177375753794969E-2</v>
      </c>
      <c r="K140" s="104">
        <f t="shared" si="23"/>
        <v>16.968184653774173</v>
      </c>
      <c r="L140" s="105">
        <f t="shared" si="24"/>
        <v>76960.432499999995</v>
      </c>
      <c r="M140" s="105">
        <f t="shared" si="25"/>
        <v>1305878.829694323</v>
      </c>
      <c r="N140" s="105">
        <f t="shared" si="31"/>
        <v>506419.81015545846</v>
      </c>
      <c r="O140" s="105">
        <v>0</v>
      </c>
      <c r="P140" s="105">
        <f t="shared" si="26"/>
        <v>1812298.6398497815</v>
      </c>
      <c r="Q140" s="105">
        <v>0</v>
      </c>
      <c r="R140" s="105">
        <f t="shared" si="27"/>
        <v>1812298.6398497815</v>
      </c>
      <c r="S140" s="85">
        <v>821449</v>
      </c>
      <c r="T140" s="109">
        <v>358933.05000000005</v>
      </c>
    </row>
    <row r="141" spans="1:20" ht="13.5" customHeight="1" x14ac:dyDescent="0.3">
      <c r="A141" s="101" t="s">
        <v>259</v>
      </c>
      <c r="B141" s="102">
        <v>60004</v>
      </c>
      <c r="C141" s="98">
        <v>462.91</v>
      </c>
      <c r="D141" s="98">
        <v>0</v>
      </c>
      <c r="E141" s="98">
        <f t="shared" si="28"/>
        <v>462.91</v>
      </c>
      <c r="F141" s="104">
        <v>4.5</v>
      </c>
      <c r="G141" s="99">
        <f t="shared" si="29"/>
        <v>18</v>
      </c>
      <c r="H141" s="104">
        <f t="shared" si="32"/>
        <v>13.971824999999999</v>
      </c>
      <c r="I141" s="104">
        <f t="shared" si="30"/>
        <v>33.13167750097071</v>
      </c>
      <c r="J141" s="104">
        <f t="shared" si="22"/>
        <v>0.32207675088973703</v>
      </c>
      <c r="K141" s="104">
        <f t="shared" si="23"/>
        <v>33.453754251860445</v>
      </c>
      <c r="L141" s="105">
        <f t="shared" si="24"/>
        <v>76960.432499999995</v>
      </c>
      <c r="M141" s="105">
        <f t="shared" si="25"/>
        <v>2574615.3959718938</v>
      </c>
      <c r="N141" s="105">
        <f t="shared" si="31"/>
        <v>998435.85055790038</v>
      </c>
      <c r="O141" s="105">
        <v>0</v>
      </c>
      <c r="P141" s="105">
        <f t="shared" si="26"/>
        <v>3573051.2465297943</v>
      </c>
      <c r="Q141" s="105">
        <v>0</v>
      </c>
      <c r="R141" s="105">
        <f t="shared" si="27"/>
        <v>3573051.2465297943</v>
      </c>
      <c r="S141" s="85">
        <v>1115747</v>
      </c>
      <c r="T141" s="109">
        <v>144525.05000000002</v>
      </c>
    </row>
    <row r="142" spans="1:20" ht="13.5" customHeight="1" x14ac:dyDescent="0.3">
      <c r="A142" s="101" t="s">
        <v>285</v>
      </c>
      <c r="B142" s="102">
        <v>60006</v>
      </c>
      <c r="C142" s="98">
        <v>384.78</v>
      </c>
      <c r="D142" s="98">
        <v>0</v>
      </c>
      <c r="E142" s="98">
        <f t="shared" si="28"/>
        <v>384.78</v>
      </c>
      <c r="F142" s="104">
        <v>4.25</v>
      </c>
      <c r="G142" s="99">
        <f t="shared" si="29"/>
        <v>17</v>
      </c>
      <c r="H142" s="104">
        <f t="shared" si="32"/>
        <v>13.38585</v>
      </c>
      <c r="I142" s="104">
        <f t="shared" si="30"/>
        <v>28.745279530250226</v>
      </c>
      <c r="J142" s="104">
        <f t="shared" si="22"/>
        <v>0.31749944904507371</v>
      </c>
      <c r="K142" s="104">
        <f t="shared" si="23"/>
        <v>29.062778979295299</v>
      </c>
      <c r="L142" s="105">
        <f t="shared" si="24"/>
        <v>76960.432499999995</v>
      </c>
      <c r="M142" s="105">
        <f t="shared" si="25"/>
        <v>2236684.0398984747</v>
      </c>
      <c r="N142" s="105">
        <f t="shared" si="31"/>
        <v>867386.07067262847</v>
      </c>
      <c r="O142" s="105">
        <v>0</v>
      </c>
      <c r="P142" s="105">
        <f t="shared" si="26"/>
        <v>3104070.1105711032</v>
      </c>
      <c r="Q142" s="105">
        <v>0</v>
      </c>
      <c r="R142" s="105">
        <f t="shared" si="27"/>
        <v>3104070.1105711032</v>
      </c>
      <c r="S142" s="85">
        <v>1164833</v>
      </c>
      <c r="T142" s="109">
        <v>233004.24000000002</v>
      </c>
    </row>
    <row r="143" spans="1:20" ht="13.5" customHeight="1" x14ac:dyDescent="0.3">
      <c r="A143" s="101" t="s">
        <v>156</v>
      </c>
      <c r="B143" s="102">
        <v>61001</v>
      </c>
      <c r="C143" s="98">
        <v>330.15</v>
      </c>
      <c r="D143" s="98">
        <v>0</v>
      </c>
      <c r="E143" s="98">
        <f t="shared" si="28"/>
        <v>330.15</v>
      </c>
      <c r="F143" s="104">
        <v>1.25</v>
      </c>
      <c r="G143" s="99">
        <f t="shared" si="29"/>
        <v>5</v>
      </c>
      <c r="H143" s="104">
        <f t="shared" si="32"/>
        <v>12.976125</v>
      </c>
      <c r="I143" s="104">
        <f t="shared" si="30"/>
        <v>25.442880675085974</v>
      </c>
      <c r="J143" s="104">
        <f t="shared" si="22"/>
        <v>9.6330761302006573E-2</v>
      </c>
      <c r="K143" s="104">
        <f t="shared" si="23"/>
        <v>25.53921143638798</v>
      </c>
      <c r="L143" s="105">
        <f t="shared" si="24"/>
        <v>76960.432499999995</v>
      </c>
      <c r="M143" s="105">
        <f t="shared" si="25"/>
        <v>1965508.757853365</v>
      </c>
      <c r="N143" s="105">
        <f t="shared" si="31"/>
        <v>762224.29629553494</v>
      </c>
      <c r="O143" s="105">
        <v>0</v>
      </c>
      <c r="P143" s="105">
        <f t="shared" si="26"/>
        <v>2727733.0541488999</v>
      </c>
      <c r="Q143" s="105">
        <v>0</v>
      </c>
      <c r="R143" s="105">
        <f t="shared" si="27"/>
        <v>2727733.0541488999</v>
      </c>
      <c r="S143" s="85">
        <v>1066580</v>
      </c>
      <c r="T143" s="109">
        <v>173619.64</v>
      </c>
    </row>
    <row r="144" spans="1:20" ht="13.5" customHeight="1" x14ac:dyDescent="0.3">
      <c r="A144" s="101" t="s">
        <v>164</v>
      </c>
      <c r="B144" s="102">
        <v>61002</v>
      </c>
      <c r="C144" s="98">
        <v>673.75</v>
      </c>
      <c r="D144" s="98">
        <v>0</v>
      </c>
      <c r="E144" s="98">
        <f t="shared" si="28"/>
        <v>673.75</v>
      </c>
      <c r="F144" s="104">
        <v>6.75</v>
      </c>
      <c r="G144" s="99">
        <f t="shared" si="29"/>
        <v>27</v>
      </c>
      <c r="H144" s="104">
        <f t="shared" si="32"/>
        <v>15</v>
      </c>
      <c r="I144" s="104">
        <f t="shared" si="30"/>
        <v>44.916666666666664</v>
      </c>
      <c r="J144" s="104">
        <f t="shared" si="22"/>
        <v>0.45</v>
      </c>
      <c r="K144" s="104">
        <f t="shared" si="23"/>
        <v>45.366666666666667</v>
      </c>
      <c r="L144" s="105">
        <f t="shared" si="24"/>
        <v>76960.432499999995</v>
      </c>
      <c r="M144" s="105">
        <f t="shared" si="25"/>
        <v>3491438.2877499997</v>
      </c>
      <c r="N144" s="105">
        <f t="shared" si="31"/>
        <v>1353979.7679894499</v>
      </c>
      <c r="O144" s="105">
        <v>0</v>
      </c>
      <c r="P144" s="105">
        <f t="shared" si="26"/>
        <v>4845418.0557394493</v>
      </c>
      <c r="Q144" s="105">
        <v>0</v>
      </c>
      <c r="R144" s="105">
        <f t="shared" si="27"/>
        <v>4845418.0557394493</v>
      </c>
      <c r="S144" s="85">
        <v>1687024</v>
      </c>
      <c r="T144" s="109">
        <v>236114.91</v>
      </c>
    </row>
    <row r="145" spans="1:20" ht="13.5" customHeight="1" x14ac:dyDescent="0.3">
      <c r="A145" s="101" t="s">
        <v>197</v>
      </c>
      <c r="B145" s="102">
        <v>61007</v>
      </c>
      <c r="C145" s="98">
        <v>687</v>
      </c>
      <c r="D145" s="98">
        <v>0.1</v>
      </c>
      <c r="E145" s="98">
        <f t="shared" si="28"/>
        <v>687.1</v>
      </c>
      <c r="F145" s="104">
        <v>0.5</v>
      </c>
      <c r="G145" s="99">
        <f t="shared" si="29"/>
        <v>2</v>
      </c>
      <c r="H145" s="104">
        <f t="shared" si="32"/>
        <v>15</v>
      </c>
      <c r="I145" s="104">
        <f t="shared" si="30"/>
        <v>45.806666666666665</v>
      </c>
      <c r="J145" s="104">
        <f t="shared" si="22"/>
        <v>3.3333333333333333E-2</v>
      </c>
      <c r="K145" s="104">
        <f t="shared" si="23"/>
        <v>45.839999999999996</v>
      </c>
      <c r="L145" s="105">
        <f t="shared" si="24"/>
        <v>76960.432499999995</v>
      </c>
      <c r="M145" s="105">
        <f t="shared" si="25"/>
        <v>3527866.2257999997</v>
      </c>
      <c r="N145" s="105">
        <f t="shared" si="31"/>
        <v>1368106.5223652397</v>
      </c>
      <c r="O145" s="105">
        <v>0</v>
      </c>
      <c r="P145" s="105">
        <f t="shared" si="26"/>
        <v>4895972.7481652396</v>
      </c>
      <c r="Q145" s="105">
        <v>0</v>
      </c>
      <c r="R145" s="105">
        <f t="shared" si="27"/>
        <v>4895972.7481652396</v>
      </c>
      <c r="S145" s="85">
        <v>1648370</v>
      </c>
      <c r="T145" s="109">
        <v>285516.65000000002</v>
      </c>
    </row>
    <row r="146" spans="1:20" ht="13.5" customHeight="1" x14ac:dyDescent="0.3">
      <c r="A146" s="101" t="s">
        <v>185</v>
      </c>
      <c r="B146" s="102">
        <v>61008</v>
      </c>
      <c r="C146" s="98">
        <v>1386.66</v>
      </c>
      <c r="D146" s="98">
        <v>0</v>
      </c>
      <c r="E146" s="98">
        <f t="shared" si="28"/>
        <v>1386.66</v>
      </c>
      <c r="F146" s="104">
        <v>10.5</v>
      </c>
      <c r="G146" s="99">
        <f t="shared" si="29"/>
        <v>42</v>
      </c>
      <c r="H146" s="104">
        <f t="shared" si="32"/>
        <v>15</v>
      </c>
      <c r="I146" s="104">
        <f t="shared" si="30"/>
        <v>92.444000000000003</v>
      </c>
      <c r="J146" s="104">
        <f t="shared" si="22"/>
        <v>0.7</v>
      </c>
      <c r="K146" s="104">
        <f t="shared" si="23"/>
        <v>93.144000000000005</v>
      </c>
      <c r="L146" s="105">
        <f t="shared" si="24"/>
        <v>76960.432499999995</v>
      </c>
      <c r="M146" s="105">
        <f t="shared" si="25"/>
        <v>7168402.5247799996</v>
      </c>
      <c r="N146" s="105">
        <f t="shared" si="31"/>
        <v>2779906.4991096836</v>
      </c>
      <c r="O146" s="105">
        <v>0</v>
      </c>
      <c r="P146" s="105">
        <f t="shared" si="26"/>
        <v>9948309.0238896832</v>
      </c>
      <c r="Q146" s="105">
        <v>0</v>
      </c>
      <c r="R146" s="105">
        <f t="shared" si="27"/>
        <v>9948309.0238896832</v>
      </c>
      <c r="S146" s="85">
        <v>4822032</v>
      </c>
      <c r="T146" s="109">
        <v>458191.81999999995</v>
      </c>
    </row>
    <row r="147" spans="1:20" ht="13.5" customHeight="1" x14ac:dyDescent="0.3">
      <c r="A147" s="101" t="s">
        <v>305</v>
      </c>
      <c r="B147" s="102">
        <v>62005</v>
      </c>
      <c r="C147" s="98">
        <v>176</v>
      </c>
      <c r="D147" s="98">
        <v>0.1</v>
      </c>
      <c r="E147" s="98">
        <f t="shared" si="28"/>
        <v>176.1</v>
      </c>
      <c r="F147" s="104">
        <v>0</v>
      </c>
      <c r="G147" s="99">
        <f t="shared" si="29"/>
        <v>0</v>
      </c>
      <c r="H147" s="104">
        <f t="shared" si="32"/>
        <v>12</v>
      </c>
      <c r="I147" s="104">
        <f t="shared" si="30"/>
        <v>14.674999999999999</v>
      </c>
      <c r="J147" s="104">
        <f t="shared" si="22"/>
        <v>0</v>
      </c>
      <c r="K147" s="104">
        <f t="shared" si="23"/>
        <v>14.674999999999999</v>
      </c>
      <c r="L147" s="105">
        <f t="shared" si="24"/>
        <v>76960.432499999995</v>
      </c>
      <c r="M147" s="105">
        <f t="shared" si="25"/>
        <v>1129394.3469374999</v>
      </c>
      <c r="N147" s="105">
        <f t="shared" si="31"/>
        <v>437979.12774236244</v>
      </c>
      <c r="O147" s="105">
        <v>0</v>
      </c>
      <c r="P147" s="105">
        <f t="shared" si="26"/>
        <v>1567373.4746798624</v>
      </c>
      <c r="Q147" s="105">
        <v>0</v>
      </c>
      <c r="R147" s="105">
        <f t="shared" si="27"/>
        <v>1567373.4746798624</v>
      </c>
      <c r="S147" s="85">
        <v>1194652</v>
      </c>
      <c r="T147" s="109">
        <v>157346.21000000002</v>
      </c>
    </row>
    <row r="148" spans="1:20" ht="13.5" customHeight="1" x14ac:dyDescent="0.3">
      <c r="A148" s="101" t="s">
        <v>250</v>
      </c>
      <c r="B148" s="102">
        <v>62006</v>
      </c>
      <c r="C148" s="98">
        <v>593.14</v>
      </c>
      <c r="D148" s="98">
        <v>0.1</v>
      </c>
      <c r="E148" s="98">
        <f t="shared" si="28"/>
        <v>593.24</v>
      </c>
      <c r="F148" s="104">
        <v>0</v>
      </c>
      <c r="G148" s="99">
        <f t="shared" si="29"/>
        <v>0</v>
      </c>
      <c r="H148" s="104">
        <f t="shared" si="32"/>
        <v>14.949300000000001</v>
      </c>
      <c r="I148" s="104">
        <f t="shared" si="30"/>
        <v>39.68346343975972</v>
      </c>
      <c r="J148" s="104">
        <f t="shared" si="22"/>
        <v>0</v>
      </c>
      <c r="K148" s="104">
        <f t="shared" si="23"/>
        <v>39.68346343975972</v>
      </c>
      <c r="L148" s="105">
        <f t="shared" si="24"/>
        <v>76960.432499999995</v>
      </c>
      <c r="M148" s="105">
        <f t="shared" si="25"/>
        <v>3054056.5094218454</v>
      </c>
      <c r="N148" s="105">
        <f t="shared" si="31"/>
        <v>1184363.1143537916</v>
      </c>
      <c r="O148" s="105">
        <v>0</v>
      </c>
      <c r="P148" s="105">
        <f t="shared" si="26"/>
        <v>4238419.6237756368</v>
      </c>
      <c r="Q148" s="105">
        <v>0</v>
      </c>
      <c r="R148" s="105">
        <f t="shared" si="27"/>
        <v>4238419.6237756368</v>
      </c>
      <c r="S148" s="85">
        <v>1237237</v>
      </c>
      <c r="T148" s="109">
        <v>378145.05</v>
      </c>
    </row>
    <row r="149" spans="1:20" ht="13.5" customHeight="1" x14ac:dyDescent="0.3">
      <c r="A149" s="101" t="s">
        <v>209</v>
      </c>
      <c r="B149" s="102">
        <v>63001</v>
      </c>
      <c r="C149" s="98">
        <v>257</v>
      </c>
      <c r="D149" s="98">
        <v>0</v>
      </c>
      <c r="E149" s="98">
        <f t="shared" si="28"/>
        <v>257</v>
      </c>
      <c r="F149" s="104">
        <v>0.25</v>
      </c>
      <c r="G149" s="99">
        <f t="shared" si="29"/>
        <v>1</v>
      </c>
      <c r="H149" s="104">
        <f t="shared" si="32"/>
        <v>12.4275</v>
      </c>
      <c r="I149" s="104">
        <f t="shared" si="30"/>
        <v>20.679943673305171</v>
      </c>
      <c r="J149" s="104">
        <f t="shared" si="22"/>
        <v>2.0116676725005028E-2</v>
      </c>
      <c r="K149" s="104">
        <f t="shared" si="23"/>
        <v>20.700060350030178</v>
      </c>
      <c r="L149" s="105">
        <f t="shared" si="24"/>
        <v>76960.432499999995</v>
      </c>
      <c r="M149" s="105">
        <f t="shared" si="25"/>
        <v>1593085.5973144239</v>
      </c>
      <c r="N149" s="105">
        <f t="shared" si="31"/>
        <v>617798.59463853354</v>
      </c>
      <c r="O149" s="105">
        <v>0</v>
      </c>
      <c r="P149" s="105">
        <f t="shared" si="26"/>
        <v>2210884.1919529573</v>
      </c>
      <c r="Q149" s="105">
        <v>0</v>
      </c>
      <c r="R149" s="105">
        <f t="shared" si="27"/>
        <v>2210884.1919529573</v>
      </c>
      <c r="S149" s="85">
        <v>315399</v>
      </c>
      <c r="T149" s="109">
        <v>84516.599999999991</v>
      </c>
    </row>
    <row r="150" spans="1:20" ht="13.5" customHeight="1" x14ac:dyDescent="0.3">
      <c r="A150" s="101" t="s">
        <v>302</v>
      </c>
      <c r="B150" s="102">
        <v>63003</v>
      </c>
      <c r="C150" s="98">
        <v>2908.87</v>
      </c>
      <c r="D150" s="98">
        <v>0.2</v>
      </c>
      <c r="E150" s="98">
        <f t="shared" si="28"/>
        <v>2909.0699999999997</v>
      </c>
      <c r="F150" s="104">
        <v>22</v>
      </c>
      <c r="G150" s="99">
        <f t="shared" si="29"/>
        <v>88</v>
      </c>
      <c r="H150" s="104">
        <f t="shared" si="32"/>
        <v>15</v>
      </c>
      <c r="I150" s="104">
        <f t="shared" si="30"/>
        <v>193.93799999999999</v>
      </c>
      <c r="J150" s="104">
        <f t="shared" si="22"/>
        <v>1.4666666666666666</v>
      </c>
      <c r="K150" s="104">
        <f t="shared" si="23"/>
        <v>195.40466666666666</v>
      </c>
      <c r="L150" s="105">
        <f t="shared" si="24"/>
        <v>76960.432499999995</v>
      </c>
      <c r="M150" s="105">
        <f t="shared" si="25"/>
        <v>15038427.659184998</v>
      </c>
      <c r="N150" s="105">
        <f t="shared" si="31"/>
        <v>5831902.2462319415</v>
      </c>
      <c r="O150" s="105">
        <v>0</v>
      </c>
      <c r="P150" s="105">
        <f t="shared" si="26"/>
        <v>20870329.905416939</v>
      </c>
      <c r="Q150" s="105">
        <v>0</v>
      </c>
      <c r="R150" s="105">
        <f t="shared" si="27"/>
        <v>20870329.905416939</v>
      </c>
      <c r="S150" s="85">
        <v>7154354</v>
      </c>
      <c r="T150" s="109">
        <v>1042923.9199999999</v>
      </c>
    </row>
    <row r="151" spans="1:20" ht="13.5" customHeight="1" x14ac:dyDescent="0.3">
      <c r="A151" s="101" t="s">
        <v>192</v>
      </c>
      <c r="B151" s="102">
        <v>64002</v>
      </c>
      <c r="C151" s="98">
        <v>364.87</v>
      </c>
      <c r="D151" s="98">
        <v>0</v>
      </c>
      <c r="E151" s="98">
        <f t="shared" si="28"/>
        <v>364.87</v>
      </c>
      <c r="F151" s="104">
        <v>0</v>
      </c>
      <c r="G151" s="99">
        <f t="shared" si="29"/>
        <v>0</v>
      </c>
      <c r="H151" s="104">
        <f t="shared" si="32"/>
        <v>13.236525</v>
      </c>
      <c r="I151" s="104">
        <f t="shared" si="30"/>
        <v>27.565391974101964</v>
      </c>
      <c r="J151" s="104">
        <f t="shared" si="22"/>
        <v>0</v>
      </c>
      <c r="K151" s="104">
        <f t="shared" si="23"/>
        <v>27.565391974101964</v>
      </c>
      <c r="L151" s="105">
        <f t="shared" si="24"/>
        <v>76960.432499999995</v>
      </c>
      <c r="M151" s="105">
        <f t="shared" si="25"/>
        <v>2121444.4883589158</v>
      </c>
      <c r="N151" s="105">
        <f t="shared" si="31"/>
        <v>822696.17258558748</v>
      </c>
      <c r="O151" s="105">
        <v>0</v>
      </c>
      <c r="P151" s="105">
        <f t="shared" si="26"/>
        <v>2944140.6609445033</v>
      </c>
      <c r="Q151" s="105">
        <v>0</v>
      </c>
      <c r="R151" s="105">
        <f t="shared" si="27"/>
        <v>2944140.6609445033</v>
      </c>
      <c r="S151" s="85">
        <v>348516</v>
      </c>
      <c r="T151" s="109">
        <v>45161.469999999994</v>
      </c>
    </row>
    <row r="152" spans="1:20" ht="13.5" customHeight="1" x14ac:dyDescent="0.3">
      <c r="A152" s="101" t="s">
        <v>306</v>
      </c>
      <c r="B152" s="102">
        <v>65001</v>
      </c>
      <c r="C152" s="98">
        <v>1784.3</v>
      </c>
      <c r="D152" s="98">
        <v>0</v>
      </c>
      <c r="E152" s="98">
        <f t="shared" si="28"/>
        <v>1784.3</v>
      </c>
      <c r="F152" s="104">
        <v>0.25</v>
      </c>
      <c r="G152" s="99">
        <f t="shared" si="29"/>
        <v>1</v>
      </c>
      <c r="H152" s="104">
        <f t="shared" si="32"/>
        <v>15</v>
      </c>
      <c r="I152" s="104">
        <f t="shared" si="30"/>
        <v>118.95333333333333</v>
      </c>
      <c r="J152" s="104">
        <f t="shared" si="22"/>
        <v>1.6666666666666666E-2</v>
      </c>
      <c r="K152" s="104">
        <f t="shared" si="23"/>
        <v>118.97</v>
      </c>
      <c r="L152" s="105">
        <f t="shared" si="24"/>
        <v>76960.432499999995</v>
      </c>
      <c r="M152" s="105">
        <f t="shared" si="25"/>
        <v>9155982.6545249987</v>
      </c>
      <c r="N152" s="105">
        <f t="shared" si="31"/>
        <v>3550690.0734247942</v>
      </c>
      <c r="O152" s="105">
        <v>0</v>
      </c>
      <c r="P152" s="105">
        <f t="shared" si="26"/>
        <v>12706672.727949793</v>
      </c>
      <c r="Q152" s="105">
        <v>0</v>
      </c>
      <c r="R152" s="105">
        <f t="shared" si="27"/>
        <v>12706672.727949793</v>
      </c>
      <c r="S152" s="85">
        <v>147259</v>
      </c>
      <c r="T152" s="109">
        <v>407004.51</v>
      </c>
    </row>
    <row r="153" spans="1:20" ht="13.5" customHeight="1" x14ac:dyDescent="0.3">
      <c r="A153" s="101" t="s">
        <v>281</v>
      </c>
      <c r="B153" s="102">
        <v>66001</v>
      </c>
      <c r="C153" s="98">
        <v>2058.1</v>
      </c>
      <c r="D153" s="98">
        <v>0</v>
      </c>
      <c r="E153" s="98">
        <f t="shared" si="28"/>
        <v>2058.1</v>
      </c>
      <c r="F153" s="104">
        <v>3</v>
      </c>
      <c r="G153" s="99">
        <f t="shared" si="29"/>
        <v>12</v>
      </c>
      <c r="H153" s="104">
        <f t="shared" si="32"/>
        <v>15</v>
      </c>
      <c r="I153" s="104">
        <f t="shared" si="30"/>
        <v>137.20666666666665</v>
      </c>
      <c r="J153" s="104">
        <f t="shared" si="22"/>
        <v>0.2</v>
      </c>
      <c r="K153" s="104">
        <f t="shared" si="23"/>
        <v>137.40666666666664</v>
      </c>
      <c r="L153" s="105">
        <f t="shared" si="24"/>
        <v>76960.432499999995</v>
      </c>
      <c r="M153" s="105">
        <f t="shared" si="25"/>
        <v>10574876.495049996</v>
      </c>
      <c r="N153" s="105">
        <f t="shared" si="31"/>
        <v>4100937.1047803885</v>
      </c>
      <c r="O153" s="105">
        <v>17488</v>
      </c>
      <c r="P153" s="105">
        <f t="shared" si="26"/>
        <v>14693301.599830385</v>
      </c>
      <c r="Q153" s="105">
        <v>0</v>
      </c>
      <c r="R153" s="105">
        <f t="shared" si="27"/>
        <v>14693301.599830385</v>
      </c>
      <c r="S153" s="85">
        <v>386240</v>
      </c>
      <c r="T153" s="109">
        <v>398908.14</v>
      </c>
    </row>
    <row r="154" spans="1:20" x14ac:dyDescent="0.3">
      <c r="A154" s="106"/>
      <c r="B154" s="106"/>
      <c r="C154" s="103">
        <f>SUM(C6:C153)</f>
        <v>138292.85999999996</v>
      </c>
      <c r="D154" s="103">
        <f>SUM(D6:D153)</f>
        <v>12.379999999999995</v>
      </c>
      <c r="E154" s="103">
        <f>SUM(E6:E153)</f>
        <v>138305.24000000002</v>
      </c>
      <c r="F154" s="104">
        <f>SUM(F6:F153)</f>
        <v>1235.75</v>
      </c>
      <c r="G154" s="103">
        <f>SUM(G6:G153)</f>
        <v>4943</v>
      </c>
      <c r="H154" s="107"/>
      <c r="I154" s="104">
        <f>SUM(I6:I153)</f>
        <v>9529.0961089523844</v>
      </c>
      <c r="J154" s="107"/>
      <c r="K154" s="104">
        <f>SUM(K6:K153)</f>
        <v>9613.5917402086361</v>
      </c>
      <c r="L154" s="105"/>
      <c r="M154" s="107"/>
      <c r="N154" s="107"/>
      <c r="O154" s="105">
        <f>SUM(O6:O153)</f>
        <v>197462</v>
      </c>
      <c r="P154" s="105">
        <f>SUM(P6:P153)</f>
        <v>1026983744.1127379</v>
      </c>
      <c r="Q154" s="105">
        <f t="shared" ref="Q154:R154" si="33">SUM(Q6:Q153)</f>
        <v>720976.359375</v>
      </c>
      <c r="R154" s="105">
        <f t="shared" si="33"/>
        <v>1026767945.5816526</v>
      </c>
      <c r="S154" s="109">
        <f>SUM(S6:S153)</f>
        <v>410031000</v>
      </c>
      <c r="T154" s="109">
        <f>SUM(T6:T153)</f>
        <v>51811948.859999992</v>
      </c>
    </row>
    <row r="155" spans="1:20" ht="14.4" thickBot="1" x14ac:dyDescent="0.35">
      <c r="A155" s="108"/>
      <c r="B155" s="108"/>
      <c r="C155" s="263"/>
      <c r="D155" s="109"/>
      <c r="E155" s="109"/>
    </row>
    <row r="156" spans="1:20" s="115" customFormat="1" ht="15" thickTop="1" thickBot="1" x14ac:dyDescent="0.35">
      <c r="A156" s="110" t="s">
        <v>378</v>
      </c>
      <c r="B156" s="110" t="s">
        <v>151</v>
      </c>
      <c r="C156" s="264">
        <v>31</v>
      </c>
      <c r="D156" s="111"/>
      <c r="E156" s="111"/>
      <c r="F156" s="112"/>
      <c r="G156" s="112"/>
      <c r="H156" s="112"/>
      <c r="I156" s="112"/>
      <c r="J156" s="112"/>
      <c r="K156" s="113" t="s">
        <v>151</v>
      </c>
      <c r="L156" s="114"/>
      <c r="M156" s="114"/>
      <c r="N156" s="114"/>
      <c r="O156" s="114"/>
      <c r="P156" s="114"/>
      <c r="Q156" s="114"/>
      <c r="R156" s="114">
        <f>ROUND(C156*7120.38,0)</f>
        <v>220732</v>
      </c>
    </row>
    <row r="157" spans="1:20" ht="14.4" thickTop="1" x14ac:dyDescent="0.3"/>
    <row r="158" spans="1:20" x14ac:dyDescent="0.3">
      <c r="C158" s="109"/>
      <c r="D158" s="109"/>
      <c r="E158" s="109"/>
      <c r="R158" s="87">
        <f>R154+R156</f>
        <v>1026988677.5816526</v>
      </c>
    </row>
    <row r="159" spans="1:20" x14ac:dyDescent="0.3">
      <c r="C159" s="109"/>
      <c r="D159" s="109"/>
      <c r="E159" s="109"/>
    </row>
    <row r="160" spans="1:20" ht="13.5" customHeight="1" x14ac:dyDescent="0.3">
      <c r="A160" s="101" t="s">
        <v>267</v>
      </c>
      <c r="B160" s="102">
        <v>39004</v>
      </c>
      <c r="C160" s="103"/>
      <c r="D160" s="103">
        <v>0</v>
      </c>
      <c r="E160" s="103"/>
      <c r="F160" s="104">
        <v>2</v>
      </c>
      <c r="G160" s="265"/>
    </row>
    <row r="161" spans="1:7" ht="13.5" customHeight="1" x14ac:dyDescent="0.3">
      <c r="A161" s="101" t="s">
        <v>258</v>
      </c>
      <c r="B161" s="102">
        <v>39005</v>
      </c>
      <c r="C161" s="98"/>
      <c r="D161" s="98">
        <v>0</v>
      </c>
      <c r="E161" s="98"/>
      <c r="F161" s="104">
        <v>5.75</v>
      </c>
      <c r="G161" s="265"/>
    </row>
  </sheetData>
  <sheetProtection algorithmName="SHA-512" hashValue="V6Eb5iA/1UkVOG9Y1wSJfFsavslCLD7HX1Lz0eqKoctJ/j6Wxhorap10zbYtXqFm8xYX7yolTBVHZevHidZ6nw==" saltValue="yC0t6Gwps7pXteArmbcgNQ==" spinCount="100000" sheet="1" objects="1" scenarios="1"/>
  <pageMargins left="0.25" right="0.25" top="0.39" bottom="0.45" header="0.17" footer="0.16"/>
  <pageSetup scale="70" fitToHeight="0" orientation="landscape" cellComments="asDisplayed" r:id="rId1"/>
  <headerFooter alignWithMargins="0">
    <oddHeader xml:space="preserve">&amp;C&amp;"Lucida Sans Unicode,Regular"&amp;14
</oddHeader>
    <oddFooter>&amp;C&amp;"Ebrima,Regular"&amp;9&amp;P&amp;R&amp;"Arial Unicode MS,Regular"&amp;8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9</vt:i4>
      </vt:variant>
    </vt:vector>
  </HeadingPairs>
  <TitlesOfParts>
    <vt:vector size="16" baseType="lpstr">
      <vt:lpstr>GSA Estimate Calculator</vt:lpstr>
      <vt:lpstr>COMPARE</vt:lpstr>
      <vt:lpstr>DistrictList</vt:lpstr>
      <vt:lpstr>SAFE History</vt:lpstr>
      <vt:lpstr>OtherRevenueLocalEffortFY25</vt:lpstr>
      <vt:lpstr>Pay 2024</vt:lpstr>
      <vt:lpstr>FY2024</vt:lpstr>
      <vt:lpstr>District</vt:lpstr>
      <vt:lpstr>COMPARE!Print_Area</vt:lpstr>
      <vt:lpstr>'FY2024'!Print_Area</vt:lpstr>
      <vt:lpstr>'GSA Estimate Calculator'!Print_Area</vt:lpstr>
      <vt:lpstr>OtherRevenueLocalEffortFY25!Print_Area</vt:lpstr>
      <vt:lpstr>'SAFE History'!Print_Area</vt:lpstr>
      <vt:lpstr>'FY2024'!Print_Titles</vt:lpstr>
      <vt:lpstr>OtherRevenueLocalEffortFY25!Print_Titles</vt:lpstr>
      <vt:lpstr>'SAFE History'!Print_Titles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2024-01-22T03:47:00Z</cp:lastPrinted>
  <dcterms:created xsi:type="dcterms:W3CDTF">2015-01-14T17:01:32Z</dcterms:created>
  <dcterms:modified xsi:type="dcterms:W3CDTF">2024-05-22T21:02:55Z</dcterms:modified>
</cp:coreProperties>
</file>