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FD295137-6D4A-4198-AE30-2EDD148F1217}" xr6:coauthVersionLast="47" xr6:coauthVersionMax="47" xr10:uidLastSave="{00000000-0000-0000-0000-000000000000}"/>
  <bookViews>
    <workbookView xWindow="1515" yWindow="1515" windowWidth="26115" windowHeight="12495" tabRatio="703" xr2:uid="{00000000-000D-0000-FFFF-FFFF00000000}"/>
  </bookViews>
  <sheets>
    <sheet name="GSA Estimate Calculator" sheetId="1" r:id="rId1"/>
    <sheet name="COMPARE" sheetId="22" r:id="rId2"/>
    <sheet name="SAFE History" sheetId="10" r:id="rId3"/>
    <sheet name="DistrictList" sheetId="21" state="hidden" r:id="rId4"/>
    <sheet name="OtherRevenueLocalEffortFY27" sheetId="41" r:id="rId5"/>
    <sheet name="Pay 2026" sheetId="40" r:id="rId6"/>
    <sheet name="FY2026" sheetId="42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51002" localSheetId="1">[1]Districts!#REF!</definedName>
    <definedName name="_51002" localSheetId="2">[1]Districts!#REF!</definedName>
    <definedName name="_51002">[1]Districts!#REF!</definedName>
    <definedName name="_xlnm._FilterDatabase" localSheetId="6" hidden="1">'FY2026'!$A$5:$S$153</definedName>
    <definedName name="_xlnm._FilterDatabase" localSheetId="4" hidden="1">OtherRevenueLocalEffortFY27!$A$4:$K$4</definedName>
    <definedName name="_xlnm._FilterDatabase" localSheetId="2" hidden="1">'SAFE History'!$A$2:$F$149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hidden="1">#REF!</definedName>
    <definedName name="Acc_Enrollment" localSheetId="1">#REF!</definedName>
    <definedName name="Acc_Enrollment" localSheetId="2">#REF!</definedName>
    <definedName name="Acc_Enrollment">#REF!</definedName>
    <definedName name="ACT_COMPOSITE" localSheetId="1">#REF!</definedName>
    <definedName name="ACT_COMPOSITE" localSheetId="2">#REF!</definedName>
    <definedName name="ACT_COMPOSITE">#REF!</definedName>
    <definedName name="ACT_NUMBER_TESTED" localSheetId="1">#REF!</definedName>
    <definedName name="ACT_NUMBER_TESTED" localSheetId="2">#REF!</definedName>
    <definedName name="ACT_NUMBER_TESTED">#REF!</definedName>
    <definedName name="All_Other" localSheetId="1">#REF!</definedName>
    <definedName name="All_Other" localSheetId="2">#REF!</definedName>
    <definedName name="All_Other">#REF!</definedName>
    <definedName name="ATTENDANCE_RATES" localSheetId="1">#REF!</definedName>
    <definedName name="ATTENDANCE_RATES" localSheetId="2">#REF!</definedName>
    <definedName name="ATTENDANCE_RATES">#REF!</definedName>
    <definedName name="Average_Daily_Attendance" localSheetId="1">#REF!</definedName>
    <definedName name="Average_Daily_Attendance" localSheetId="2">#REF!</definedName>
    <definedName name="Average_Daily_Attendance">#REF!</definedName>
    <definedName name="Average_Daily_Membership" localSheetId="1">#REF!</definedName>
    <definedName name="Average_Daily_Membership" localSheetId="2">#REF!</definedName>
    <definedName name="Average_Daily_Membership">#REF!</definedName>
    <definedName name="Average_District_Salary" localSheetId="1">#REF!</definedName>
    <definedName name="Average_District_Salary" localSheetId="2">#REF!</definedName>
    <definedName name="Average_District_Salary">#REF!</definedName>
    <definedName name="Average_Local_Exper" localSheetId="1">#REF!</definedName>
    <definedName name="Average_Local_Exper" localSheetId="2">#REF!</definedName>
    <definedName name="Average_Local_Exper">#REF!</definedName>
    <definedName name="AVERAGE_SCHOOL_SALARY" localSheetId="1">#REF!</definedName>
    <definedName name="AVERAGE_SCHOOL_SALARY" localSheetId="2">#REF!</definedName>
    <definedName name="AVERAGE_SCHOOL_SALARY">#REF!</definedName>
    <definedName name="Average_Total_Exper" localSheetId="1">#REF!</definedName>
    <definedName name="Average_Total_Exper" localSheetId="2">#REF!</definedName>
    <definedName name="Average_Total_Exper">#REF!</definedName>
    <definedName name="Counselor_FTE" localSheetId="1">#REF!</definedName>
    <definedName name="Counselor_FTE" localSheetId="2">#REF!</definedName>
    <definedName name="Counselor_FTE">#REF!</definedName>
    <definedName name="Counselor_Ratio" localSheetId="1">#REF!</definedName>
    <definedName name="Counselor_Ratio" localSheetId="2">#REF!</definedName>
    <definedName name="Counselor_Ratio">#REF!</definedName>
    <definedName name="County_Gen_Fund_Revenue" localSheetId="1">#REF!</definedName>
    <definedName name="County_Gen_Fund_Revenue" localSheetId="2">#REF!</definedName>
    <definedName name="County_Gen_Fund_Revenue">#REF!</definedName>
    <definedName name="County_Spec_Fund_Revenue" localSheetId="1">#REF!</definedName>
    <definedName name="County_Spec_Fund_Revenue" localSheetId="2">#REF!</definedName>
    <definedName name="County_Spec_Fund_Revenue">#REF!</definedName>
    <definedName name="_xlnm.Criteria" localSheetId="1">#REF!</definedName>
    <definedName name="_xlnm.Criteria" localSheetId="2">#REF!</definedName>
    <definedName name="_xlnm.Criteria">#REF!</definedName>
    <definedName name="Cur_Select_01" localSheetId="1">#REF!</definedName>
    <definedName name="Cur_Select_01" localSheetId="2">#REF!</definedName>
    <definedName name="Cur_Select_01">#REF!</definedName>
    <definedName name="Cur_Select_02" localSheetId="1">#REF!</definedName>
    <definedName name="Cur_Select_02" localSheetId="2">#REF!</definedName>
    <definedName name="Cur_Select_02">#REF!</definedName>
    <definedName name="_xlnm.Database" localSheetId="1">#REF!</definedName>
    <definedName name="_xlnm.Database" localSheetId="2">#REF!</definedName>
    <definedName name="_xlnm.Database">#REF!</definedName>
    <definedName name="Database2" localSheetId="1">#REF!</definedName>
    <definedName name="Database2" localSheetId="2">#REF!</definedName>
    <definedName name="Database2">#REF!</definedName>
    <definedName name="District" localSheetId="1">#REF!</definedName>
    <definedName name="District" localSheetId="6">#REF!</definedName>
    <definedName name="District" localSheetId="4">#REF!</definedName>
    <definedName name="District" localSheetId="5">#REF!</definedName>
    <definedName name="District" localSheetId="2">#REF!</definedName>
    <definedName name="District">'GSA Estimate Calculator'!$B$2:$B$147</definedName>
    <definedName name="District_Attendance_Rate" localSheetId="1">#REF!</definedName>
    <definedName name="District_Attendance_Rate" localSheetId="2">#REF!</definedName>
    <definedName name="District_Attendance_Rate">#REF!</definedName>
    <definedName name="District_Code" localSheetId="1">#REF!</definedName>
    <definedName name="District_Code" localSheetId="2">#REF!</definedName>
    <definedName name="District_Code">#REF!</definedName>
    <definedName name="District_Name" localSheetId="1">#REF!</definedName>
    <definedName name="District_Name" localSheetId="2">#REF!</definedName>
    <definedName name="District_Name">#REF!</definedName>
    <definedName name="DROPOUTS" localSheetId="1">#REF!</definedName>
    <definedName name="DROPOUTS" localSheetId="2">#REF!</definedName>
    <definedName name="DROPOUTS">#REF!</definedName>
    <definedName name="Dropouts_Rate_10" localSheetId="1">#REF!</definedName>
    <definedName name="Dropouts_Rate_10" localSheetId="2">#REF!</definedName>
    <definedName name="Dropouts_Rate_10">#REF!</definedName>
    <definedName name="Dropouts_Rate_11" localSheetId="1">#REF!</definedName>
    <definedName name="Dropouts_Rate_11" localSheetId="2">#REF!</definedName>
    <definedName name="Dropouts_Rate_11">#REF!</definedName>
    <definedName name="Dropouts_Rate_12" localSheetId="1">#REF!</definedName>
    <definedName name="Dropouts_Rate_12" localSheetId="2">#REF!</definedName>
    <definedName name="Dropouts_Rate_12">#REF!</definedName>
    <definedName name="Dropouts_Rate_7" localSheetId="1">#REF!</definedName>
    <definedName name="Dropouts_Rate_7" localSheetId="2">#REF!</definedName>
    <definedName name="Dropouts_Rate_7">#REF!</definedName>
    <definedName name="Dropouts_Rate_8" localSheetId="1">#REF!</definedName>
    <definedName name="Dropouts_Rate_8" localSheetId="2">#REF!</definedName>
    <definedName name="Dropouts_Rate_8">#REF!</definedName>
    <definedName name="Dropouts_Rate_9" localSheetId="1">#REF!</definedName>
    <definedName name="Dropouts_Rate_9" localSheetId="2">#REF!</definedName>
    <definedName name="Dropouts_Rate_9">#REF!</definedName>
    <definedName name="DUX" localSheetId="1">#REF!</definedName>
    <definedName name="DUX" localSheetId="2">#REF!</definedName>
    <definedName name="DUX">#REF!</definedName>
    <definedName name="Employee_Benefits" localSheetId="1">#REF!</definedName>
    <definedName name="Employee_Benefits" localSheetId="2">#REF!</definedName>
    <definedName name="Employee_Benefits">#REF!</definedName>
    <definedName name="Employee_Salaries" localSheetId="1">#REF!</definedName>
    <definedName name="Employee_Salaries" localSheetId="2">#REF!</definedName>
    <definedName name="Employee_Salaries">#REF!</definedName>
    <definedName name="End_Year_Enrollment" localSheetId="1">#REF!</definedName>
    <definedName name="End_Year_Enrollment" localSheetId="2">#REF!</definedName>
    <definedName name="End_Year_Enrollment">#REF!</definedName>
    <definedName name="Expend_Per_Pupil" localSheetId="1">#REF!</definedName>
    <definedName name="Expend_Per_Pupil" localSheetId="2">#REF!</definedName>
    <definedName name="Expend_Per_Pupil">#REF!</definedName>
    <definedName name="FALL_ENROLLMENT" localSheetId="1">#REF!</definedName>
    <definedName name="FALL_ENROLLMENT" localSheetId="2">#REF!</definedName>
    <definedName name="FALL_ENROLLMENT">#REF!</definedName>
    <definedName name="Federal_Gen_Fund_Revenue" localSheetId="1">#REF!</definedName>
    <definedName name="Federal_Gen_Fund_Revenue" localSheetId="2">#REF!</definedName>
    <definedName name="Federal_Gen_Fund_Revenue">#REF!</definedName>
    <definedName name="Federal_Spec_Fund_Revenue" localSheetId="1">#REF!</definedName>
    <definedName name="Federal_Spec_Fund_Revenue" localSheetId="2">#REF!</definedName>
    <definedName name="Federal_Spec_Fund_Revenue">#REF!</definedName>
    <definedName name="Fill1" localSheetId="1">#REF!</definedName>
    <definedName name="Fill1" localSheetId="2">#REF!</definedName>
    <definedName name="Fill1">#REF!</definedName>
    <definedName name="Fill10" localSheetId="1">#REF!</definedName>
    <definedName name="Fill10" localSheetId="2">#REF!</definedName>
    <definedName name="Fill10">#REF!</definedName>
    <definedName name="Fill11" localSheetId="1">#REF!</definedName>
    <definedName name="Fill11" localSheetId="2">#REF!</definedName>
    <definedName name="Fill11">#REF!</definedName>
    <definedName name="Fill12" localSheetId="1">#REF!</definedName>
    <definedName name="Fill12" localSheetId="2">#REF!</definedName>
    <definedName name="Fill12">#REF!</definedName>
    <definedName name="Fill13" localSheetId="1">#REF!</definedName>
    <definedName name="Fill13" localSheetId="2">#REF!</definedName>
    <definedName name="Fill13">#REF!</definedName>
    <definedName name="Fill14" localSheetId="1">#REF!</definedName>
    <definedName name="Fill14" localSheetId="2">#REF!</definedName>
    <definedName name="Fill14">#REF!</definedName>
    <definedName name="Fill15" localSheetId="1">#REF!</definedName>
    <definedName name="Fill15" localSheetId="2">#REF!</definedName>
    <definedName name="Fill15">#REF!</definedName>
    <definedName name="Fill16" localSheetId="1">#REF!</definedName>
    <definedName name="Fill16" localSheetId="2">#REF!</definedName>
    <definedName name="Fill16">#REF!</definedName>
    <definedName name="Fill17" localSheetId="1">#REF!</definedName>
    <definedName name="Fill17" localSheetId="2">#REF!</definedName>
    <definedName name="Fill17">#REF!</definedName>
    <definedName name="Fill2" localSheetId="1">#REF!</definedName>
    <definedName name="Fill2" localSheetId="2">#REF!</definedName>
    <definedName name="Fill2">#REF!</definedName>
    <definedName name="Fill3" localSheetId="1">#REF!</definedName>
    <definedName name="Fill3" localSheetId="2">#REF!</definedName>
    <definedName name="Fill3">#REF!</definedName>
    <definedName name="Fill4" localSheetId="1">#REF!</definedName>
    <definedName name="Fill4" localSheetId="2">#REF!</definedName>
    <definedName name="Fill4">#REF!</definedName>
    <definedName name="Fill5" localSheetId="1">#REF!</definedName>
    <definedName name="Fill5" localSheetId="2">#REF!</definedName>
    <definedName name="Fill5">#REF!</definedName>
    <definedName name="Fill6" localSheetId="1">#REF!</definedName>
    <definedName name="Fill6" localSheetId="2">#REF!</definedName>
    <definedName name="Fill6">#REF!</definedName>
    <definedName name="Fill7" localSheetId="1">#REF!</definedName>
    <definedName name="Fill7" localSheetId="2">#REF!</definedName>
    <definedName name="Fill7">#REF!</definedName>
    <definedName name="Fill8" localSheetId="1">#REF!</definedName>
    <definedName name="Fill8" localSheetId="2">#REF!</definedName>
    <definedName name="Fill8">#REF!</definedName>
    <definedName name="Fill9" localSheetId="1">#REF!</definedName>
    <definedName name="Fill9" localSheetId="2">#REF!</definedName>
    <definedName name="Fill9">#REF!</definedName>
    <definedName name="Grade_Span" localSheetId="1">#REF!</definedName>
    <definedName name="Grade_Span" localSheetId="2">#REF!</definedName>
    <definedName name="Grade_Span">#REF!</definedName>
    <definedName name="Hill_City_51_2" localSheetId="1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1">[2]Districts!#REF!</definedName>
    <definedName name="Jefferson_61_6" localSheetId="5">[3]Districts!#REF!</definedName>
    <definedName name="Jefferson_61_6">[2]Districts!#REF!</definedName>
    <definedName name="jolene" hidden="1">[4]LEVIES97!$A$6:$AA$182</definedName>
    <definedName name="K_Enrollment" localSheetId="1">#REF!</definedName>
    <definedName name="K_Enrollment" localSheetId="2">#REF!</definedName>
    <definedName name="K_Enrollment">#REF!</definedName>
    <definedName name="Less_Than_5_Year_Exp" localSheetId="1">#REF!</definedName>
    <definedName name="Less_Than_5_Year_Exp" localSheetId="2">#REF!</definedName>
    <definedName name="Less_Than_5_Year_Exp">#REF!</definedName>
    <definedName name="Librarian_FTE" localSheetId="1">#REF!</definedName>
    <definedName name="Librarian_FTE" localSheetId="2">#REF!</definedName>
    <definedName name="Librarian_FTE">#REF!</definedName>
    <definedName name="Librarian_Ratio" localSheetId="1">#REF!</definedName>
    <definedName name="Librarian_Ratio" localSheetId="2">#REF!</definedName>
    <definedName name="Librarian_Ratio">#REF!</definedName>
    <definedName name="Local_Gen_Fund_Revenue" localSheetId="1">#REF!</definedName>
    <definedName name="Local_Gen_Fund_Revenue" localSheetId="2">#REF!</definedName>
    <definedName name="Local_Gen_Fund_Revenue">#REF!</definedName>
    <definedName name="Local_Spec_Fund_Revenue" localSheetId="1">#REF!</definedName>
    <definedName name="Local_Spec_Fund_Revenue" localSheetId="2">#REF!</definedName>
    <definedName name="Local_Spec_Fund_Revenue">#REF!</definedName>
    <definedName name="Lost_Enrollment" localSheetId="1">#REF!</definedName>
    <definedName name="Lost_Enrollment" localSheetId="2">#REF!</definedName>
    <definedName name="Lost_Enrollment">#REF!</definedName>
    <definedName name="Max_Masters_Salary" localSheetId="1">#REF!</definedName>
    <definedName name="Max_Masters_Salary" localSheetId="2">#REF!</definedName>
    <definedName name="Max_Masters_Salary">#REF!</definedName>
    <definedName name="Minimum_Bach_Salary" localSheetId="1">#REF!</definedName>
    <definedName name="Minimum_Bach_Salary" localSheetId="2">#REF!</definedName>
    <definedName name="Minimum_Bach_Salary">#REF!</definedName>
    <definedName name="New_Enrollment" localSheetId="1">#REF!</definedName>
    <definedName name="New_Enrollment" localSheetId="2">#REF!</definedName>
    <definedName name="New_Enrollment">#REF!</definedName>
    <definedName name="No_Of_Advanced_Degree" localSheetId="1">#REF!</definedName>
    <definedName name="No_Of_Advanced_Degree" localSheetId="2">#REF!</definedName>
    <definedName name="No_Of_Advanced_Degree">#REF!</definedName>
    <definedName name="Num_Dropouts_10" localSheetId="1">#REF!</definedName>
    <definedName name="Num_Dropouts_10" localSheetId="2">#REF!</definedName>
    <definedName name="Num_Dropouts_10">#REF!</definedName>
    <definedName name="Num_Dropouts_11" localSheetId="1">#REF!</definedName>
    <definedName name="Num_Dropouts_11" localSheetId="2">#REF!</definedName>
    <definedName name="Num_Dropouts_11">#REF!</definedName>
    <definedName name="Num_Dropouts_12" localSheetId="1">#REF!</definedName>
    <definedName name="Num_Dropouts_12" localSheetId="2">#REF!</definedName>
    <definedName name="Num_Dropouts_12">#REF!</definedName>
    <definedName name="Num_Dropouts_7" localSheetId="1">#REF!</definedName>
    <definedName name="Num_Dropouts_7" localSheetId="2">#REF!</definedName>
    <definedName name="Num_Dropouts_7">#REF!</definedName>
    <definedName name="Num_Dropouts_8" localSheetId="1">#REF!</definedName>
    <definedName name="Num_Dropouts_8" localSheetId="2">#REF!</definedName>
    <definedName name="Num_Dropouts_8">#REF!</definedName>
    <definedName name="Num_Dropouts_9" localSheetId="1">#REF!</definedName>
    <definedName name="Num_Dropouts_9" localSheetId="2">#REF!</definedName>
    <definedName name="Num_Dropouts_9">#REF!</definedName>
    <definedName name="NUMBER_GRADUATES" localSheetId="1">#REF!</definedName>
    <definedName name="NUMBER_GRADUATES" localSheetId="2">#REF!</definedName>
    <definedName name="NUMBER_GRADUATES">#REF!</definedName>
    <definedName name="OTIS_LENNON_NUMBER_TESTED" localSheetId="1">#REF!</definedName>
    <definedName name="OTIS_LENNON_NUMBER_TESTED" localSheetId="2">#REF!</definedName>
    <definedName name="OTIS_LENNON_NUMBER_TESTED">#REF!</definedName>
    <definedName name="OTIS_LENNON_PERCENTILE" localSheetId="1">#REF!</definedName>
    <definedName name="OTIS_LENNON_PERCENTILE" localSheetId="2">#REF!</definedName>
    <definedName name="OTIS_LENNON_PERCENTILE">#REF!</definedName>
    <definedName name="Overall_Dropout_Rate" localSheetId="1">#REF!</definedName>
    <definedName name="Overall_Dropout_Rate" localSheetId="2">#REF!</definedName>
    <definedName name="Overall_Dropout_Rate">#REF!</definedName>
    <definedName name="PartVSec1" localSheetId="1">#REF!</definedName>
    <definedName name="PartVSec1" localSheetId="2">#REF!</definedName>
    <definedName name="PartVSec1">#REF!</definedName>
    <definedName name="PartVSec2" localSheetId="1">#REF!</definedName>
    <definedName name="PartVSec2" localSheetId="2">#REF!</definedName>
    <definedName name="PartVSec2">#REF!</definedName>
    <definedName name="Perc_Less_Than_5_Year_Exp" localSheetId="1">#REF!</definedName>
    <definedName name="Perc_Less_Than_5_Year_Exp" localSheetId="2">#REF!</definedName>
    <definedName name="Perc_Less_Than_5_Year_Exp">#REF!</definedName>
    <definedName name="Percent_Of_Advanced_Degree" localSheetId="1">#REF!</definedName>
    <definedName name="Percent_Of_Advanced_Degree" localSheetId="2">#REF!</definedName>
    <definedName name="Percent_Of_Advanced_Degree">#REF!</definedName>
    <definedName name="Principal_FTE" localSheetId="1">#REF!</definedName>
    <definedName name="Principal_FTE" localSheetId="2">#REF!</definedName>
    <definedName name="Principal_FTE">#REF!</definedName>
    <definedName name="Principal_Ratio" localSheetId="1">#REF!</definedName>
    <definedName name="Principal_Ratio" localSheetId="2">#REF!</definedName>
    <definedName name="Principal_Ratio">#REF!</definedName>
    <definedName name="_xlnm.Print_Area" localSheetId="1">COMPARE!$A$1:$H$29</definedName>
    <definedName name="_xlnm.Print_Area" localSheetId="6">'FY2026'!$A$1:$S$153</definedName>
    <definedName name="_xlnm.Print_Area" localSheetId="0">'GSA Estimate Calculator'!$A$1:$G$54</definedName>
    <definedName name="_xlnm.Print_Area" localSheetId="4">OtherRevenueLocalEffortFY27!$A$1:$K$153</definedName>
    <definedName name="_xlnm.Print_Area" localSheetId="2">'SAFE History'!$B$3:$F$155</definedName>
    <definedName name="_xlnm.Print_Titles" localSheetId="6">'FY2026'!$1:$5</definedName>
    <definedName name="_xlnm.Print_Titles" localSheetId="4">OtherRevenueLocalEffortFY27!$4:$4</definedName>
    <definedName name="_xlnm.Print_Titles" localSheetId="2">'SAFE History'!$1:$2</definedName>
    <definedName name="QRY___Dist_by_Disability__3_21_" localSheetId="1">#REF!</definedName>
    <definedName name="QRY___Dist_by_Disability__3_21_" localSheetId="2">#REF!</definedName>
    <definedName name="QRY___Dist_by_Disability__3_21_">#REF!</definedName>
    <definedName name="Qry_District_by_Disability" localSheetId="1">#REF!</definedName>
    <definedName name="Qry_District_by_Disability" localSheetId="2">#REF!</definedName>
    <definedName name="Qry_District_by_Disability">#REF!</definedName>
    <definedName name="QRY1_12ADMFinal_Out" localSheetId="1">#REF!</definedName>
    <definedName name="QRY1_12ADMFinal_Out" localSheetId="2">#REF!</definedName>
    <definedName name="QRY1_12ADMFinal_Out">#REF!</definedName>
    <definedName name="QryADM1_12Add" localSheetId="1">#REF!</definedName>
    <definedName name="QryADM1_12Add" localSheetId="2">#REF!</definedName>
    <definedName name="QryADM1_12Add">#REF!</definedName>
    <definedName name="QryADM1_12Subtract" localSheetId="1">#REF!</definedName>
    <definedName name="QryADM1_12Subtract" localSheetId="2">#REF!</definedName>
    <definedName name="QryADM1_12Subtract">#REF!</definedName>
    <definedName name="QryADMKgAdd" localSheetId="1">#REF!</definedName>
    <definedName name="QryADMKgAdd" localSheetId="2">#REF!</definedName>
    <definedName name="QryADMKgAdd">#REF!</definedName>
    <definedName name="QryADMKgSubtract" localSheetId="1">#REF!</definedName>
    <definedName name="QryADMKgSubtract" localSheetId="2">#REF!</definedName>
    <definedName name="QryADMKgSubtract">#REF!</definedName>
    <definedName name="QryKGADMFinal_out" localSheetId="1">#REF!</definedName>
    <definedName name="QryKGADMFinal_out" localSheetId="2">#REF!</definedName>
    <definedName name="QryKGADMFinal_out">#REF!</definedName>
    <definedName name="Retained_Student_Ratio" localSheetId="1">#REF!</definedName>
    <definedName name="Retained_Student_Ratio" localSheetId="2">#REF!</definedName>
    <definedName name="Retained_Student_Ratio">#REF!</definedName>
    <definedName name="Retained_Students" localSheetId="1">#REF!</definedName>
    <definedName name="Retained_Students" localSheetId="2">#REF!</definedName>
    <definedName name="Retained_Students">#REF!</definedName>
    <definedName name="School">#REF!</definedName>
    <definedName name="school_area" localSheetId="1">#REF!</definedName>
    <definedName name="school_area" localSheetId="2">#REF!</definedName>
    <definedName name="school_area">#REF!</definedName>
    <definedName name="School_Attendance_Rate" localSheetId="1">#REF!</definedName>
    <definedName name="School_Attendance_Rate" localSheetId="2">#REF!</definedName>
    <definedName name="School_Attendance_Rate">#REF!</definedName>
    <definedName name="School_Code" localSheetId="1">#REF!</definedName>
    <definedName name="School_Code" localSheetId="2">#REF!</definedName>
    <definedName name="School_Code">#REF!</definedName>
    <definedName name="SCHOOL_NAME" localSheetId="1">#REF!</definedName>
    <definedName name="SCHOOL_NAME" localSheetId="2">#REF!</definedName>
    <definedName name="SCHOOL_NAME">#REF!</definedName>
    <definedName name="School_Phone_Num" localSheetId="1">#REF!</definedName>
    <definedName name="School_Phone_Num" localSheetId="2">#REF!</definedName>
    <definedName name="School_Phone_Num">#REF!</definedName>
    <definedName name="School_Principal" localSheetId="1">#REF!</definedName>
    <definedName name="School_Principal" localSheetId="2">#REF!</definedName>
    <definedName name="School_Principal">#REF!</definedName>
    <definedName name="School_Principal_Num" localSheetId="1">#REF!</definedName>
    <definedName name="School_Principal_Num" localSheetId="2">#REF!</definedName>
    <definedName name="School_Principal_Num">#REF!</definedName>
    <definedName name="School_Type" localSheetId="1">#REF!</definedName>
    <definedName name="School_Type" localSheetId="2">#REF!</definedName>
    <definedName name="School_Type">#REF!</definedName>
    <definedName name="STANFORD_METROPOLITAN_PERCENTILE" localSheetId="1">#REF!</definedName>
    <definedName name="STANFORD_METROPOLITAN_PERCENTILE" localSheetId="2">#REF!</definedName>
    <definedName name="STANFORD_METROPOLITAN_PERCENTILE">#REF!</definedName>
    <definedName name="State_Gen_Fund_Revenue" localSheetId="1">#REF!</definedName>
    <definedName name="State_Gen_Fund_Revenue" localSheetId="2">#REF!</definedName>
    <definedName name="State_Gen_Fund_Revenue">#REF!</definedName>
    <definedName name="State_Spec_Fund_Revenue" localSheetId="1">#REF!</definedName>
    <definedName name="State_Spec_Fund_Revenue" localSheetId="2">#REF!</definedName>
    <definedName name="State_Spec_Fund_Revenue">#REF!</definedName>
    <definedName name="STUDENT_TO_STAFF_RATIO" localSheetId="1">#REF!</definedName>
    <definedName name="STUDENT_TO_STAFF_RATIO" localSheetId="2">#REF!</definedName>
    <definedName name="STUDENT_TO_STAFF_RATIO">#REF!</definedName>
    <definedName name="TBL1_12ADM1_Out" localSheetId="1">#REF!</definedName>
    <definedName name="TBL1_12ADM1_Out" localSheetId="2">#REF!</definedName>
    <definedName name="TBL1_12ADM1_Out">#REF!</definedName>
    <definedName name="TblAttndanceCenterSummary" localSheetId="1">#REF!</definedName>
    <definedName name="TblAttndanceCenterSummary" localSheetId="2">#REF!</definedName>
    <definedName name="TblAttndanceCenterSummary">#REF!</definedName>
    <definedName name="TblAttndanceCenterSummary1" localSheetId="1">#REF!</definedName>
    <definedName name="TblAttndanceCenterSummary1" localSheetId="2">#REF!</definedName>
    <definedName name="TblAttndanceCenterSummary1">#REF!</definedName>
    <definedName name="Teacher_FTE" localSheetId="1">#REF!</definedName>
    <definedName name="Teacher_FTE" localSheetId="2">#REF!</definedName>
    <definedName name="Teacher_FTE">#REF!</definedName>
    <definedName name="Teacher_Ratio" localSheetId="1">#REF!</definedName>
    <definedName name="Teacher_Ratio" localSheetId="2">#REF!</definedName>
    <definedName name="Teacher_Ratio">#REF!</definedName>
    <definedName name="test" localSheetId="1">[1]Districts!#REF!</definedName>
    <definedName name="test">[1]Districts!#REF!</definedName>
    <definedName name="Tot_Number_Of_Teachers" localSheetId="1">#REF!</definedName>
    <definedName name="Tot_Number_Of_Teachers" localSheetId="2">#REF!</definedName>
    <definedName name="Tot_Number_Of_Teachers">#REF!</definedName>
    <definedName name="Total_Expenditure" localSheetId="1">#REF!</definedName>
    <definedName name="Total_Expenditure" localSheetId="2">#REF!</definedName>
    <definedName name="Total_Expenditure">#REF!</definedName>
    <definedName name="TOTAL_INSTRUCTIONAL_STAFF" localSheetId="1">#REF!</definedName>
    <definedName name="TOTAL_INSTRUCTIONAL_STAFF" localSheetId="2">#REF!</definedName>
    <definedName name="TOTAL_INSTRUCTIONAL_STAFF">#REF!</definedName>
    <definedName name="Totals_by_School_District" localSheetId="1">#REF!</definedName>
    <definedName name="Totals_by_School_District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22" l="1"/>
  <c r="D4" i="22"/>
  <c r="M155" i="10"/>
  <c r="T153" i="42"/>
  <c r="U153" i="42"/>
  <c r="C11" i="22"/>
  <c r="N153" i="42"/>
  <c r="N7" i="42"/>
  <c r="N8" i="42"/>
  <c r="N9" i="42"/>
  <c r="N10" i="42"/>
  <c r="N11" i="42"/>
  <c r="N12" i="42"/>
  <c r="N13" i="42"/>
  <c r="N14" i="42"/>
  <c r="N15" i="42"/>
  <c r="N16" i="42"/>
  <c r="N17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N75" i="42"/>
  <c r="N76" i="42"/>
  <c r="N77" i="42"/>
  <c r="N78" i="42"/>
  <c r="N79" i="42"/>
  <c r="N80" i="42"/>
  <c r="N81" i="42"/>
  <c r="N82" i="42"/>
  <c r="N83" i="42"/>
  <c r="N84" i="42"/>
  <c r="N85" i="42"/>
  <c r="N86" i="42"/>
  <c r="N87" i="42"/>
  <c r="N88" i="42"/>
  <c r="N89" i="42"/>
  <c r="N90" i="42"/>
  <c r="N91" i="42"/>
  <c r="N92" i="42"/>
  <c r="N93" i="42"/>
  <c r="N94" i="42"/>
  <c r="N95" i="42"/>
  <c r="N96" i="42"/>
  <c r="N97" i="42"/>
  <c r="N98" i="42"/>
  <c r="N99" i="42"/>
  <c r="N100" i="42"/>
  <c r="N101" i="42"/>
  <c r="N102" i="42"/>
  <c r="N103" i="42"/>
  <c r="N104" i="42"/>
  <c r="N105" i="42"/>
  <c r="N106" i="42"/>
  <c r="N107" i="42"/>
  <c r="N108" i="42"/>
  <c r="N109" i="42"/>
  <c r="N110" i="42"/>
  <c r="N111" i="42"/>
  <c r="N112" i="42"/>
  <c r="N113" i="42"/>
  <c r="N114" i="42"/>
  <c r="N115" i="42"/>
  <c r="N116" i="42"/>
  <c r="N117" i="42"/>
  <c r="N118" i="42"/>
  <c r="N119" i="42"/>
  <c r="N120" i="42"/>
  <c r="N121" i="42"/>
  <c r="N122" i="42"/>
  <c r="N123" i="42"/>
  <c r="N124" i="42"/>
  <c r="N125" i="42"/>
  <c r="N126" i="42"/>
  <c r="N127" i="42"/>
  <c r="N128" i="42"/>
  <c r="N129" i="42"/>
  <c r="N130" i="42"/>
  <c r="N131" i="42"/>
  <c r="N132" i="42"/>
  <c r="N133" i="42"/>
  <c r="N134" i="42"/>
  <c r="N135" i="42"/>
  <c r="N136" i="42"/>
  <c r="N137" i="42"/>
  <c r="N138" i="42"/>
  <c r="N139" i="42"/>
  <c r="N140" i="42"/>
  <c r="N141" i="42"/>
  <c r="N142" i="42"/>
  <c r="N143" i="42"/>
  <c r="N144" i="42"/>
  <c r="N145" i="42"/>
  <c r="N146" i="42"/>
  <c r="N147" i="42"/>
  <c r="N148" i="42"/>
  <c r="N149" i="42"/>
  <c r="N150" i="42"/>
  <c r="N151" i="42"/>
  <c r="N152" i="42"/>
  <c r="N6" i="42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49" i="42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72" i="42"/>
  <c r="E73" i="42"/>
  <c r="E74" i="42"/>
  <c r="E75" i="42"/>
  <c r="E76" i="42"/>
  <c r="E77" i="42"/>
  <c r="E78" i="42"/>
  <c r="E79" i="42"/>
  <c r="E80" i="42"/>
  <c r="E81" i="42"/>
  <c r="E82" i="42"/>
  <c r="E83" i="42"/>
  <c r="E84" i="42"/>
  <c r="E85" i="42"/>
  <c r="E86" i="42"/>
  <c r="E87" i="42"/>
  <c r="E88" i="42"/>
  <c r="E89" i="42"/>
  <c r="E90" i="42"/>
  <c r="E91" i="42"/>
  <c r="E92" i="42"/>
  <c r="E93" i="42"/>
  <c r="E94" i="42"/>
  <c r="E95" i="42"/>
  <c r="E96" i="42"/>
  <c r="E97" i="42"/>
  <c r="E98" i="42"/>
  <c r="E99" i="42"/>
  <c r="E100" i="42"/>
  <c r="E101" i="42"/>
  <c r="E102" i="42"/>
  <c r="E103" i="42"/>
  <c r="E104" i="42"/>
  <c r="E105" i="42"/>
  <c r="E106" i="42"/>
  <c r="E107" i="42"/>
  <c r="E108" i="42"/>
  <c r="E109" i="42"/>
  <c r="E110" i="42"/>
  <c r="E111" i="42"/>
  <c r="E112" i="42"/>
  <c r="E113" i="42"/>
  <c r="E114" i="42"/>
  <c r="E115" i="42"/>
  <c r="E116" i="42"/>
  <c r="E117" i="42"/>
  <c r="E118" i="42"/>
  <c r="E119" i="42"/>
  <c r="E120" i="42"/>
  <c r="E121" i="42"/>
  <c r="E122" i="42"/>
  <c r="E123" i="42"/>
  <c r="E124" i="42"/>
  <c r="E125" i="42"/>
  <c r="E126" i="42"/>
  <c r="E127" i="42"/>
  <c r="E128" i="42"/>
  <c r="E129" i="42"/>
  <c r="E130" i="42"/>
  <c r="E131" i="42"/>
  <c r="E132" i="42"/>
  <c r="E133" i="42"/>
  <c r="E134" i="42"/>
  <c r="E135" i="42"/>
  <c r="E136" i="42"/>
  <c r="E137" i="42"/>
  <c r="E138" i="42"/>
  <c r="E139" i="42"/>
  <c r="E140" i="42"/>
  <c r="E141" i="42"/>
  <c r="E142" i="42"/>
  <c r="E143" i="42"/>
  <c r="E144" i="42"/>
  <c r="E145" i="42"/>
  <c r="E146" i="42"/>
  <c r="E147" i="42"/>
  <c r="E148" i="42"/>
  <c r="E149" i="42"/>
  <c r="E150" i="42"/>
  <c r="E151" i="42"/>
  <c r="E152" i="42"/>
  <c r="E6" i="42" l="1"/>
  <c r="E153" i="42" s="1"/>
  <c r="O152" i="42"/>
  <c r="J152" i="42"/>
  <c r="O151" i="42"/>
  <c r="J151" i="42"/>
  <c r="O150" i="42"/>
  <c r="J150" i="42"/>
  <c r="O149" i="42"/>
  <c r="J149" i="42"/>
  <c r="F149" i="42"/>
  <c r="H149" i="42" s="1"/>
  <c r="O148" i="42"/>
  <c r="J148" i="42"/>
  <c r="O147" i="42"/>
  <c r="J147" i="42"/>
  <c r="F147" i="42"/>
  <c r="G147" i="42" s="1"/>
  <c r="O146" i="42"/>
  <c r="J146" i="42"/>
  <c r="F146" i="42"/>
  <c r="H146" i="42" s="1"/>
  <c r="O145" i="42"/>
  <c r="J145" i="42"/>
  <c r="F145" i="42"/>
  <c r="O144" i="42"/>
  <c r="J144" i="42"/>
  <c r="O143" i="42"/>
  <c r="J143" i="42"/>
  <c r="F143" i="42"/>
  <c r="G143" i="42" s="1"/>
  <c r="O142" i="42"/>
  <c r="J142" i="42"/>
  <c r="O141" i="42"/>
  <c r="J141" i="42"/>
  <c r="F141" i="42"/>
  <c r="G141" i="42" s="1"/>
  <c r="O140" i="42"/>
  <c r="J140" i="42"/>
  <c r="F140" i="42"/>
  <c r="H140" i="42" s="1"/>
  <c r="O139" i="42"/>
  <c r="J139" i="42"/>
  <c r="O138" i="42"/>
  <c r="J138" i="42"/>
  <c r="O137" i="42"/>
  <c r="J137" i="42"/>
  <c r="F137" i="42"/>
  <c r="G137" i="42" s="1"/>
  <c r="O136" i="42"/>
  <c r="J136" i="42"/>
  <c r="F136" i="42"/>
  <c r="O135" i="42"/>
  <c r="J135" i="42"/>
  <c r="F135" i="42"/>
  <c r="G135" i="42" s="1"/>
  <c r="O134" i="42"/>
  <c r="J134" i="42"/>
  <c r="F134" i="42"/>
  <c r="G134" i="42" s="1"/>
  <c r="H134" i="42"/>
  <c r="O133" i="42"/>
  <c r="J133" i="42"/>
  <c r="F133" i="42"/>
  <c r="H133" i="42" s="1"/>
  <c r="O132" i="42"/>
  <c r="J132" i="42"/>
  <c r="O131" i="42"/>
  <c r="J131" i="42"/>
  <c r="F131" i="42"/>
  <c r="O130" i="42"/>
  <c r="J130" i="42"/>
  <c r="F130" i="42"/>
  <c r="G130" i="42" s="1"/>
  <c r="O129" i="42"/>
  <c r="J129" i="42"/>
  <c r="O128" i="42"/>
  <c r="J128" i="42"/>
  <c r="O127" i="42"/>
  <c r="J127" i="42"/>
  <c r="F127" i="42"/>
  <c r="H127" i="42" s="1"/>
  <c r="O126" i="42"/>
  <c r="J126" i="42"/>
  <c r="O125" i="42"/>
  <c r="J125" i="42"/>
  <c r="F125" i="42"/>
  <c r="G125" i="42" s="1"/>
  <c r="O124" i="42"/>
  <c r="J124" i="42"/>
  <c r="S123" i="42"/>
  <c r="O123" i="42"/>
  <c r="J123" i="42"/>
  <c r="F123" i="42"/>
  <c r="O122" i="42"/>
  <c r="J122" i="42"/>
  <c r="O121" i="42"/>
  <c r="J121" i="42"/>
  <c r="F121" i="42"/>
  <c r="G121" i="42" s="1"/>
  <c r="O120" i="42"/>
  <c r="J120" i="42"/>
  <c r="F120" i="42"/>
  <c r="G120" i="42" s="1"/>
  <c r="O119" i="42"/>
  <c r="J119" i="42"/>
  <c r="F119" i="42"/>
  <c r="G119" i="42" s="1"/>
  <c r="O118" i="42"/>
  <c r="J118" i="42"/>
  <c r="F118" i="42"/>
  <c r="G118" i="42" s="1"/>
  <c r="O117" i="42"/>
  <c r="J117" i="42"/>
  <c r="F117" i="42"/>
  <c r="G117" i="42" s="1"/>
  <c r="O116" i="42"/>
  <c r="J116" i="42"/>
  <c r="F116" i="42"/>
  <c r="H116" i="42" s="1"/>
  <c r="O115" i="42"/>
  <c r="J115" i="42"/>
  <c r="F115" i="42"/>
  <c r="G115" i="42" s="1"/>
  <c r="O114" i="42"/>
  <c r="J114" i="42"/>
  <c r="O113" i="42"/>
  <c r="J113" i="42"/>
  <c r="F113" i="42"/>
  <c r="G113" i="42" s="1"/>
  <c r="O112" i="42"/>
  <c r="J112" i="42"/>
  <c r="O111" i="42"/>
  <c r="J111" i="42"/>
  <c r="F111" i="42"/>
  <c r="O110" i="42"/>
  <c r="J110" i="42"/>
  <c r="O109" i="42"/>
  <c r="J109" i="42"/>
  <c r="F109" i="42"/>
  <c r="G109" i="42" s="1"/>
  <c r="O108" i="42"/>
  <c r="J108" i="42"/>
  <c r="F108" i="42"/>
  <c r="G108" i="42" s="1"/>
  <c r="O107" i="42"/>
  <c r="J107" i="42"/>
  <c r="O106" i="42"/>
  <c r="J106" i="42"/>
  <c r="O105" i="42"/>
  <c r="J105" i="42"/>
  <c r="O104" i="42"/>
  <c r="J104" i="42"/>
  <c r="O103" i="42"/>
  <c r="J103" i="42"/>
  <c r="F103" i="42"/>
  <c r="G103" i="42" s="1"/>
  <c r="H103" i="42"/>
  <c r="O102" i="42"/>
  <c r="J102" i="42"/>
  <c r="O101" i="42"/>
  <c r="J101" i="42"/>
  <c r="O100" i="42"/>
  <c r="J100" i="42"/>
  <c r="O99" i="42"/>
  <c r="J99" i="42"/>
  <c r="F99" i="42"/>
  <c r="G99" i="42" s="1"/>
  <c r="O98" i="42"/>
  <c r="J98" i="42"/>
  <c r="O97" i="42"/>
  <c r="J97" i="42"/>
  <c r="F97" i="42"/>
  <c r="G97" i="42" s="1"/>
  <c r="O96" i="42"/>
  <c r="J96" i="42"/>
  <c r="F96" i="42"/>
  <c r="H96" i="42" s="1"/>
  <c r="O95" i="42"/>
  <c r="J95" i="42"/>
  <c r="F95" i="42"/>
  <c r="G95" i="42" s="1"/>
  <c r="O94" i="42"/>
  <c r="J94" i="42"/>
  <c r="F94" i="42"/>
  <c r="O93" i="42"/>
  <c r="J93" i="42"/>
  <c r="F93" i="42"/>
  <c r="O92" i="42"/>
  <c r="J92" i="42"/>
  <c r="F92" i="42"/>
  <c r="H92" i="42" s="1"/>
  <c r="O91" i="42"/>
  <c r="J91" i="42"/>
  <c r="F91" i="42"/>
  <c r="G91" i="42" s="1"/>
  <c r="O90" i="42"/>
  <c r="J90" i="42"/>
  <c r="F90" i="42"/>
  <c r="O89" i="42"/>
  <c r="J89" i="42"/>
  <c r="F89" i="42"/>
  <c r="O88" i="42"/>
  <c r="J88" i="42"/>
  <c r="O87" i="42"/>
  <c r="J87" i="42"/>
  <c r="O86" i="42"/>
  <c r="J86" i="42"/>
  <c r="F86" i="42"/>
  <c r="G86" i="42" s="1"/>
  <c r="O85" i="42"/>
  <c r="J85" i="42"/>
  <c r="O84" i="42"/>
  <c r="J84" i="42"/>
  <c r="O83" i="42"/>
  <c r="J83" i="42"/>
  <c r="F83" i="42"/>
  <c r="G83" i="42" s="1"/>
  <c r="O82" i="42"/>
  <c r="J82" i="42"/>
  <c r="O81" i="42"/>
  <c r="J81" i="42"/>
  <c r="O80" i="42"/>
  <c r="J80" i="42"/>
  <c r="F80" i="42"/>
  <c r="H80" i="42" s="1"/>
  <c r="O79" i="42"/>
  <c r="J79" i="42"/>
  <c r="O78" i="42"/>
  <c r="J78" i="42"/>
  <c r="F78" i="42"/>
  <c r="H78" i="42" s="1"/>
  <c r="O77" i="42"/>
  <c r="J77" i="42"/>
  <c r="F77" i="42"/>
  <c r="G77" i="42" s="1"/>
  <c r="O76" i="42"/>
  <c r="J76" i="42"/>
  <c r="O75" i="42"/>
  <c r="J75" i="42"/>
  <c r="O74" i="42"/>
  <c r="J74" i="42"/>
  <c r="F74" i="42"/>
  <c r="H74" i="42" s="1"/>
  <c r="O73" i="42"/>
  <c r="J73" i="42"/>
  <c r="O72" i="42"/>
  <c r="J72" i="42"/>
  <c r="O71" i="42"/>
  <c r="J71" i="42"/>
  <c r="F71" i="42"/>
  <c r="G71" i="42" s="1"/>
  <c r="O70" i="42"/>
  <c r="J70" i="42"/>
  <c r="O69" i="42"/>
  <c r="J69" i="42"/>
  <c r="O68" i="42"/>
  <c r="J68" i="42"/>
  <c r="O67" i="42"/>
  <c r="J67" i="42"/>
  <c r="O66" i="42"/>
  <c r="J66" i="42"/>
  <c r="F66" i="42"/>
  <c r="O65" i="42"/>
  <c r="J65" i="42"/>
  <c r="F65" i="42"/>
  <c r="G65" i="42" s="1"/>
  <c r="O64" i="42"/>
  <c r="J64" i="42"/>
  <c r="F64" i="42"/>
  <c r="O63" i="42"/>
  <c r="J63" i="42"/>
  <c r="F63" i="42"/>
  <c r="H63" i="42" s="1"/>
  <c r="O62" i="42"/>
  <c r="J62" i="42"/>
  <c r="F62" i="42"/>
  <c r="H62" i="42" s="1"/>
  <c r="O61" i="42"/>
  <c r="J61" i="42"/>
  <c r="F61" i="42"/>
  <c r="G61" i="42" s="1"/>
  <c r="O60" i="42"/>
  <c r="J60" i="42"/>
  <c r="F60" i="42"/>
  <c r="O59" i="42"/>
  <c r="J59" i="42"/>
  <c r="O58" i="42"/>
  <c r="J58" i="42"/>
  <c r="O57" i="42"/>
  <c r="J57" i="42"/>
  <c r="F57" i="42"/>
  <c r="O56" i="42"/>
  <c r="J56" i="42"/>
  <c r="F56" i="42"/>
  <c r="G56" i="42" s="1"/>
  <c r="H56" i="42"/>
  <c r="O55" i="42"/>
  <c r="J55" i="42"/>
  <c r="O54" i="42"/>
  <c r="J54" i="42"/>
  <c r="O53" i="42"/>
  <c r="J53" i="42"/>
  <c r="F53" i="42"/>
  <c r="H53" i="42" s="1"/>
  <c r="O52" i="42"/>
  <c r="J52" i="42"/>
  <c r="F52" i="42"/>
  <c r="G52" i="42" s="1"/>
  <c r="O51" i="42"/>
  <c r="J51" i="42"/>
  <c r="O50" i="42"/>
  <c r="J50" i="42"/>
  <c r="F50" i="42"/>
  <c r="G50" i="42" s="1"/>
  <c r="H50" i="42"/>
  <c r="O49" i="42"/>
  <c r="J49" i="42"/>
  <c r="O48" i="42"/>
  <c r="J48" i="42"/>
  <c r="F48" i="42"/>
  <c r="G48" i="42" s="1"/>
  <c r="O47" i="42"/>
  <c r="J47" i="42"/>
  <c r="O46" i="42"/>
  <c r="J46" i="42"/>
  <c r="O45" i="42"/>
  <c r="J45" i="42"/>
  <c r="F45" i="42"/>
  <c r="H45" i="42" s="1"/>
  <c r="O44" i="42"/>
  <c r="J44" i="42"/>
  <c r="F44" i="42"/>
  <c r="O43" i="42"/>
  <c r="J43" i="42"/>
  <c r="F43" i="42"/>
  <c r="G43" i="42" s="1"/>
  <c r="O42" i="42"/>
  <c r="J42" i="42"/>
  <c r="F42" i="42"/>
  <c r="G42" i="42" s="1"/>
  <c r="O41" i="42"/>
  <c r="J41" i="42"/>
  <c r="F41" i="42"/>
  <c r="O40" i="42"/>
  <c r="J40" i="42"/>
  <c r="F40" i="42"/>
  <c r="G40" i="42" s="1"/>
  <c r="O39" i="42"/>
  <c r="J39" i="42"/>
  <c r="O38" i="42"/>
  <c r="J38" i="42"/>
  <c r="F38" i="42"/>
  <c r="O37" i="42"/>
  <c r="J37" i="42"/>
  <c r="O36" i="42"/>
  <c r="J36" i="42"/>
  <c r="F36" i="42"/>
  <c r="H36" i="42" s="1"/>
  <c r="O35" i="42"/>
  <c r="J35" i="42"/>
  <c r="F35" i="42"/>
  <c r="H35" i="42" s="1"/>
  <c r="O34" i="42"/>
  <c r="J34" i="42"/>
  <c r="F34" i="42"/>
  <c r="O33" i="42"/>
  <c r="J33" i="42"/>
  <c r="F33" i="42"/>
  <c r="O32" i="42"/>
  <c r="J32" i="42"/>
  <c r="F32" i="42"/>
  <c r="O31" i="42"/>
  <c r="J31" i="42"/>
  <c r="F31" i="42"/>
  <c r="H31" i="42" s="1"/>
  <c r="O30" i="42"/>
  <c r="J30" i="42"/>
  <c r="F30" i="42"/>
  <c r="G30" i="42" s="1"/>
  <c r="O29" i="42"/>
  <c r="J29" i="42"/>
  <c r="O28" i="42"/>
  <c r="J28" i="42"/>
  <c r="O27" i="42"/>
  <c r="J27" i="42"/>
  <c r="O26" i="42"/>
  <c r="J26" i="42"/>
  <c r="F26" i="42"/>
  <c r="H26" i="42" s="1"/>
  <c r="O25" i="42"/>
  <c r="J25" i="42"/>
  <c r="F25" i="42"/>
  <c r="H25" i="42" s="1"/>
  <c r="O24" i="42"/>
  <c r="J24" i="42"/>
  <c r="F24" i="42"/>
  <c r="G24" i="42" s="1"/>
  <c r="O23" i="42"/>
  <c r="J23" i="42"/>
  <c r="O22" i="42"/>
  <c r="J22" i="42"/>
  <c r="F22" i="42"/>
  <c r="O21" i="42"/>
  <c r="J21" i="42"/>
  <c r="F21" i="42"/>
  <c r="G21" i="42" s="1"/>
  <c r="O20" i="42"/>
  <c r="J20" i="42"/>
  <c r="O19" i="42"/>
  <c r="J19" i="42"/>
  <c r="O18" i="42"/>
  <c r="J18" i="42"/>
  <c r="O17" i="42"/>
  <c r="J17" i="42"/>
  <c r="F17" i="42"/>
  <c r="G17" i="42" s="1"/>
  <c r="O16" i="42"/>
  <c r="J16" i="42"/>
  <c r="F16" i="42"/>
  <c r="O15" i="42"/>
  <c r="J15" i="42"/>
  <c r="O14" i="42"/>
  <c r="J14" i="42"/>
  <c r="F14" i="42"/>
  <c r="G14" i="42" s="1"/>
  <c r="O13" i="42"/>
  <c r="J13" i="42"/>
  <c r="O12" i="42"/>
  <c r="J12" i="42"/>
  <c r="F12" i="42"/>
  <c r="G12" i="42" s="1"/>
  <c r="O11" i="42"/>
  <c r="J11" i="42"/>
  <c r="F11" i="42"/>
  <c r="O10" i="42"/>
  <c r="J10" i="42"/>
  <c r="F10" i="42"/>
  <c r="O9" i="42"/>
  <c r="J9" i="42"/>
  <c r="F9" i="42"/>
  <c r="H9" i="42" s="1"/>
  <c r="O8" i="42"/>
  <c r="J8" i="42"/>
  <c r="O7" i="42"/>
  <c r="J7" i="42"/>
  <c r="F7" i="42"/>
  <c r="H7" i="42" s="1"/>
  <c r="J6" i="42"/>
  <c r="F6" i="42"/>
  <c r="G6" i="42" s="1"/>
  <c r="H83" i="42" l="1"/>
  <c r="H130" i="42"/>
  <c r="H118" i="42"/>
  <c r="I118" i="42" s="1"/>
  <c r="K118" i="42" s="1"/>
  <c r="H40" i="42"/>
  <c r="I40" i="42" s="1"/>
  <c r="K40" i="42" s="1"/>
  <c r="H115" i="42"/>
  <c r="H119" i="42"/>
  <c r="I115" i="42"/>
  <c r="K115" i="42" s="1"/>
  <c r="L115" i="42" s="1"/>
  <c r="Q115" i="42" s="1"/>
  <c r="S115" i="42" s="1"/>
  <c r="H143" i="42"/>
  <c r="I143" i="42" s="1"/>
  <c r="K143" i="42" s="1"/>
  <c r="H65" i="42"/>
  <c r="I65" i="42" s="1"/>
  <c r="K65" i="42" s="1"/>
  <c r="H52" i="42"/>
  <c r="G72" i="42"/>
  <c r="I52" i="42"/>
  <c r="K52" i="42" s="1"/>
  <c r="H93" i="42"/>
  <c r="H71" i="42"/>
  <c r="I71" i="42" s="1"/>
  <c r="K71" i="42" s="1"/>
  <c r="I42" i="42"/>
  <c r="K42" i="42" s="1"/>
  <c r="L42" i="42" s="1"/>
  <c r="Q42" i="42" s="1"/>
  <c r="S42" i="42" s="1"/>
  <c r="H131" i="42"/>
  <c r="G131" i="42"/>
  <c r="I131" i="42" s="1"/>
  <c r="K131" i="42" s="1"/>
  <c r="L131" i="42" s="1"/>
  <c r="I121" i="42"/>
  <c r="K121" i="42" s="1"/>
  <c r="L121" i="42" s="1"/>
  <c r="Q121" i="42" s="1"/>
  <c r="S121" i="42" s="1"/>
  <c r="G68" i="42"/>
  <c r="H90" i="42"/>
  <c r="G81" i="42"/>
  <c r="H43" i="42"/>
  <c r="I43" i="42" s="1"/>
  <c r="K43" i="42" s="1"/>
  <c r="I83" i="42"/>
  <c r="K83" i="42" s="1"/>
  <c r="L83" i="42" s="1"/>
  <c r="Q83" i="42" s="1"/>
  <c r="S83" i="42" s="1"/>
  <c r="I103" i="42"/>
  <c r="K103" i="42" s="1"/>
  <c r="L103" i="42" s="1"/>
  <c r="Q103" i="42" s="1"/>
  <c r="S103" i="42" s="1"/>
  <c r="H147" i="42"/>
  <c r="I147" i="42" s="1"/>
  <c r="K147" i="42" s="1"/>
  <c r="L147" i="42" s="1"/>
  <c r="H94" i="42"/>
  <c r="F112" i="42"/>
  <c r="H112" i="42" s="1"/>
  <c r="F68" i="42"/>
  <c r="H68" i="42" s="1"/>
  <c r="H121" i="42"/>
  <c r="H42" i="42"/>
  <c r="H77" i="42"/>
  <c r="I77" i="42" s="1"/>
  <c r="K77" i="42" s="1"/>
  <c r="F101" i="42"/>
  <c r="H101" i="42" s="1"/>
  <c r="G10" i="42"/>
  <c r="F19" i="42"/>
  <c r="H19" i="42" s="1"/>
  <c r="G7" i="42"/>
  <c r="I7" i="42" s="1"/>
  <c r="K7" i="42" s="1"/>
  <c r="G22" i="42"/>
  <c r="F28" i="42"/>
  <c r="H28" i="42" s="1"/>
  <c r="H48" i="42"/>
  <c r="I48" i="42" s="1"/>
  <c r="K48" i="42" s="1"/>
  <c r="F54" i="42"/>
  <c r="H54" i="42" s="1"/>
  <c r="H57" i="42"/>
  <c r="G116" i="42"/>
  <c r="I116" i="42" s="1"/>
  <c r="K116" i="42" s="1"/>
  <c r="H17" i="42"/>
  <c r="I17" i="42" s="1"/>
  <c r="K17" i="42" s="1"/>
  <c r="H125" i="42"/>
  <c r="I125" i="42" s="1"/>
  <c r="K125" i="42" s="1"/>
  <c r="L125" i="42" s="1"/>
  <c r="Q125" i="42" s="1"/>
  <c r="S125" i="42" s="1"/>
  <c r="I56" i="42"/>
  <c r="K56" i="42" s="1"/>
  <c r="L56" i="42" s="1"/>
  <c r="Q56" i="42" s="1"/>
  <c r="S56" i="42" s="1"/>
  <c r="H137" i="42"/>
  <c r="I137" i="42" s="1"/>
  <c r="K137" i="42" s="1"/>
  <c r="L137" i="42" s="1"/>
  <c r="Q137" i="42" s="1"/>
  <c r="S137" i="42" s="1"/>
  <c r="G62" i="42"/>
  <c r="I62" i="42" s="1"/>
  <c r="K62" i="42" s="1"/>
  <c r="L62" i="42" s="1"/>
  <c r="Q62" i="42" s="1"/>
  <c r="S62" i="42" s="1"/>
  <c r="I134" i="42"/>
  <c r="K134" i="42" s="1"/>
  <c r="L134" i="42" s="1"/>
  <c r="H11" i="42"/>
  <c r="Q134" i="42"/>
  <c r="S134" i="42" s="1"/>
  <c r="G146" i="42"/>
  <c r="I146" i="42" s="1"/>
  <c r="K146" i="42" s="1"/>
  <c r="L146" i="42" s="1"/>
  <c r="Q146" i="42" s="1"/>
  <c r="S146" i="42" s="1"/>
  <c r="H21" i="42"/>
  <c r="I21" i="42" s="1"/>
  <c r="K21" i="42" s="1"/>
  <c r="L21" i="42" s="1"/>
  <c r="Q21" i="42" s="1"/>
  <c r="S21" i="42" s="1"/>
  <c r="H86" i="42"/>
  <c r="I86" i="42" s="1"/>
  <c r="K86" i="42" s="1"/>
  <c r="L86" i="42" s="1"/>
  <c r="Q86" i="42" s="1"/>
  <c r="S86" i="42" s="1"/>
  <c r="G133" i="42"/>
  <c r="I133" i="42" s="1"/>
  <c r="K133" i="42" s="1"/>
  <c r="H81" i="42"/>
  <c r="H61" i="42"/>
  <c r="I61" i="42" s="1"/>
  <c r="K61" i="42" s="1"/>
  <c r="F75" i="42"/>
  <c r="H75" i="42" s="1"/>
  <c r="H108" i="42"/>
  <c r="I108" i="42" s="1"/>
  <c r="K108" i="42" s="1"/>
  <c r="G26" i="42"/>
  <c r="I26" i="42" s="1"/>
  <c r="K26" i="42" s="1"/>
  <c r="L26" i="42" s="1"/>
  <c r="Q26" i="42" s="1"/>
  <c r="S26" i="42" s="1"/>
  <c r="H111" i="42"/>
  <c r="I111" i="42" s="1"/>
  <c r="K111" i="42" s="1"/>
  <c r="H64" i="42"/>
  <c r="F29" i="42"/>
  <c r="G29" i="42" s="1"/>
  <c r="H38" i="42"/>
  <c r="G36" i="42"/>
  <c r="I36" i="42" s="1"/>
  <c r="K36" i="42" s="1"/>
  <c r="G80" i="42"/>
  <c r="I80" i="42" s="1"/>
  <c r="K80" i="42" s="1"/>
  <c r="H66" i="42"/>
  <c r="G66" i="42"/>
  <c r="I66" i="42" s="1"/>
  <c r="K66" i="42" s="1"/>
  <c r="L66" i="42" s="1"/>
  <c r="Q66" i="42" s="1"/>
  <c r="S66" i="42" s="1"/>
  <c r="F72" i="42"/>
  <c r="H72" i="42" s="1"/>
  <c r="F81" i="42"/>
  <c r="G34" i="42"/>
  <c r="F87" i="42"/>
  <c r="G87" i="42" s="1"/>
  <c r="G93" i="42"/>
  <c r="F46" i="42"/>
  <c r="H46" i="42" s="1"/>
  <c r="F105" i="42"/>
  <c r="H105" i="42" s="1"/>
  <c r="G111" i="42"/>
  <c r="H120" i="42"/>
  <c r="I120" i="42" s="1"/>
  <c r="K120" i="42" s="1"/>
  <c r="L120" i="42" s="1"/>
  <c r="Q120" i="42" s="1"/>
  <c r="S120" i="42" s="1"/>
  <c r="H141" i="42"/>
  <c r="I141" i="42" s="1"/>
  <c r="K141" i="42" s="1"/>
  <c r="G44" i="42"/>
  <c r="H30" i="42"/>
  <c r="I30" i="42" s="1"/>
  <c r="K30" i="42" s="1"/>
  <c r="L30" i="42" s="1"/>
  <c r="Q30" i="42" s="1"/>
  <c r="S30" i="42" s="1"/>
  <c r="G90" i="42"/>
  <c r="H34" i="42"/>
  <c r="I34" i="42" s="1"/>
  <c r="K34" i="42" s="1"/>
  <c r="L34" i="42" s="1"/>
  <c r="Q34" i="42" s="1"/>
  <c r="S34" i="42" s="1"/>
  <c r="F102" i="42"/>
  <c r="H102" i="42" s="1"/>
  <c r="H117" i="42"/>
  <c r="I117" i="42" s="1"/>
  <c r="K117" i="42" s="1"/>
  <c r="H12" i="42"/>
  <c r="I12" i="42" s="1"/>
  <c r="K12" i="42" s="1"/>
  <c r="L12" i="42" s="1"/>
  <c r="Q12" i="42" s="1"/>
  <c r="S12" i="42" s="1"/>
  <c r="F18" i="42"/>
  <c r="H18" i="42" s="1"/>
  <c r="G38" i="42"/>
  <c r="F73" i="42"/>
  <c r="G73" i="42" s="1"/>
  <c r="H41" i="42"/>
  <c r="G94" i="42"/>
  <c r="H97" i="42"/>
  <c r="I97" i="42" s="1"/>
  <c r="K97" i="42" s="1"/>
  <c r="H109" i="42"/>
  <c r="I109" i="42" s="1"/>
  <c r="K109" i="42" s="1"/>
  <c r="L109" i="42" s="1"/>
  <c r="Q109" i="42" s="1"/>
  <c r="S109" i="42" s="1"/>
  <c r="F138" i="42"/>
  <c r="H138" i="42" s="1"/>
  <c r="L118" i="42"/>
  <c r="Q118" i="42" s="1"/>
  <c r="S118" i="42" s="1"/>
  <c r="F37" i="42"/>
  <c r="H37" i="42" s="1"/>
  <c r="F107" i="42"/>
  <c r="G107" i="42" s="1"/>
  <c r="F142" i="42"/>
  <c r="G142" i="42" s="1"/>
  <c r="H24" i="42"/>
  <c r="I24" i="42" s="1"/>
  <c r="K24" i="42" s="1"/>
  <c r="G127" i="42"/>
  <c r="I127" i="42" s="1"/>
  <c r="K127" i="42" s="1"/>
  <c r="H16" i="42"/>
  <c r="G33" i="42"/>
  <c r="H95" i="42"/>
  <c r="I95" i="42" s="1"/>
  <c r="K95" i="42" s="1"/>
  <c r="I130" i="42"/>
  <c r="K130" i="42" s="1"/>
  <c r="F148" i="42"/>
  <c r="G148" i="42" s="1"/>
  <c r="G16" i="42"/>
  <c r="F151" i="42"/>
  <c r="H151" i="42" s="1"/>
  <c r="H14" i="42"/>
  <c r="I14" i="42" s="1"/>
  <c r="K14" i="42" s="1"/>
  <c r="F55" i="42"/>
  <c r="G55" i="42" s="1"/>
  <c r="F8" i="42"/>
  <c r="G8" i="42" s="1"/>
  <c r="F27" i="42"/>
  <c r="H27" i="42" s="1"/>
  <c r="H44" i="42"/>
  <c r="G64" i="42"/>
  <c r="F79" i="42"/>
  <c r="H79" i="42" s="1"/>
  <c r="H89" i="42"/>
  <c r="F49" i="42"/>
  <c r="H49" i="42" s="1"/>
  <c r="H113" i="42"/>
  <c r="I113" i="42" s="1"/>
  <c r="K113" i="42" s="1"/>
  <c r="G31" i="42"/>
  <c r="I31" i="42" s="1"/>
  <c r="K31" i="42" s="1"/>
  <c r="F51" i="42"/>
  <c r="H51" i="42" s="1"/>
  <c r="G123" i="42"/>
  <c r="H136" i="42"/>
  <c r="G136" i="42"/>
  <c r="I136" i="42" s="1"/>
  <c r="K136" i="42" s="1"/>
  <c r="F23" i="42"/>
  <c r="H23" i="42" s="1"/>
  <c r="F82" i="42"/>
  <c r="H82" i="42" s="1"/>
  <c r="H123" i="42"/>
  <c r="G35" i="42"/>
  <c r="I35" i="42" s="1"/>
  <c r="K35" i="42" s="1"/>
  <c r="F88" i="42"/>
  <c r="H88" i="42" s="1"/>
  <c r="P153" i="42"/>
  <c r="F47" i="42"/>
  <c r="H47" i="42" s="1"/>
  <c r="G92" i="42"/>
  <c r="I92" i="42" s="1"/>
  <c r="K92" i="42" s="1"/>
  <c r="R153" i="42"/>
  <c r="G11" i="42"/>
  <c r="F76" i="42"/>
  <c r="H76" i="42" s="1"/>
  <c r="H99" i="42"/>
  <c r="I99" i="42" s="1"/>
  <c r="K99" i="42" s="1"/>
  <c r="G45" i="42"/>
  <c r="I45" i="42" s="1"/>
  <c r="K45" i="42" s="1"/>
  <c r="G74" i="42"/>
  <c r="I74" i="42" s="1"/>
  <c r="K74" i="42" s="1"/>
  <c r="F39" i="42"/>
  <c r="H39" i="42" s="1"/>
  <c r="H33" i="42"/>
  <c r="F20" i="42"/>
  <c r="G20" i="42" s="1"/>
  <c r="C153" i="42"/>
  <c r="G53" i="42"/>
  <c r="I53" i="42" s="1"/>
  <c r="K53" i="42" s="1"/>
  <c r="G89" i="42"/>
  <c r="I89" i="42" s="1"/>
  <c r="K89" i="42" s="1"/>
  <c r="F67" i="42"/>
  <c r="H67" i="42" s="1"/>
  <c r="G67" i="42"/>
  <c r="G9" i="42"/>
  <c r="I9" i="42" s="1"/>
  <c r="K9" i="42" s="1"/>
  <c r="H32" i="42"/>
  <c r="F69" i="42"/>
  <c r="H69" i="42" s="1"/>
  <c r="F13" i="42"/>
  <c r="G13" i="42" s="1"/>
  <c r="G32" i="42"/>
  <c r="F58" i="42"/>
  <c r="H58" i="42" s="1"/>
  <c r="F129" i="42"/>
  <c r="G129" i="42" s="1"/>
  <c r="F139" i="42"/>
  <c r="H139" i="42" s="1"/>
  <c r="G139" i="42"/>
  <c r="G63" i="42"/>
  <c r="I63" i="42" s="1"/>
  <c r="K63" i="42" s="1"/>
  <c r="I119" i="42"/>
  <c r="K119" i="42" s="1"/>
  <c r="D153" i="42"/>
  <c r="H6" i="42"/>
  <c r="I6" i="42" s="1"/>
  <c r="G25" i="42"/>
  <c r="I25" i="42" s="1"/>
  <c r="K25" i="42" s="1"/>
  <c r="G57" i="42"/>
  <c r="G140" i="42"/>
  <c r="I140" i="42" s="1"/>
  <c r="K140" i="42" s="1"/>
  <c r="F59" i="42"/>
  <c r="H59" i="42" s="1"/>
  <c r="G149" i="42"/>
  <c r="I149" i="42" s="1"/>
  <c r="K149" i="42" s="1"/>
  <c r="G96" i="42"/>
  <c r="I96" i="42" s="1"/>
  <c r="K96" i="42" s="1"/>
  <c r="F98" i="42"/>
  <c r="G98" i="42" s="1"/>
  <c r="F110" i="42"/>
  <c r="H110" i="42" s="1"/>
  <c r="F114" i="42"/>
  <c r="H114" i="42" s="1"/>
  <c r="M153" i="42"/>
  <c r="F70" i="42"/>
  <c r="H70" i="42" s="1"/>
  <c r="G145" i="42"/>
  <c r="F15" i="42"/>
  <c r="H15" i="42" s="1"/>
  <c r="G41" i="42"/>
  <c r="H10" i="42"/>
  <c r="F124" i="42"/>
  <c r="H124" i="42" s="1"/>
  <c r="O6" i="42"/>
  <c r="H22" i="42"/>
  <c r="I50" i="42"/>
  <c r="K50" i="42" s="1"/>
  <c r="F85" i="42"/>
  <c r="G85" i="42" s="1"/>
  <c r="F104" i="42"/>
  <c r="G104" i="42" s="1"/>
  <c r="F126" i="42"/>
  <c r="G126" i="42" s="1"/>
  <c r="H145" i="42"/>
  <c r="G78" i="42"/>
  <c r="I78" i="42" s="1"/>
  <c r="K78" i="42" s="1"/>
  <c r="H60" i="42"/>
  <c r="H91" i="42"/>
  <c r="I91" i="42" s="1"/>
  <c r="K91" i="42" s="1"/>
  <c r="G60" i="42"/>
  <c r="H135" i="42"/>
  <c r="I135" i="42" s="1"/>
  <c r="K135" i="42" s="1"/>
  <c r="F132" i="42"/>
  <c r="H132" i="42" s="1"/>
  <c r="F100" i="42"/>
  <c r="H100" i="42" s="1"/>
  <c r="F122" i="42"/>
  <c r="H122" i="42" s="1"/>
  <c r="F144" i="42"/>
  <c r="H144" i="42" s="1"/>
  <c r="F128" i="42"/>
  <c r="H128" i="42" s="1"/>
  <c r="F150" i="42"/>
  <c r="H150" i="42" s="1"/>
  <c r="F84" i="42"/>
  <c r="H84" i="42" s="1"/>
  <c r="F106" i="42"/>
  <c r="H106" i="42" s="1"/>
  <c r="F152" i="42"/>
  <c r="H152" i="42" s="1"/>
  <c r="I44" i="42" l="1"/>
  <c r="K44" i="42" s="1"/>
  <c r="I41" i="42"/>
  <c r="K41" i="42" s="1"/>
  <c r="G122" i="42"/>
  <c r="I122" i="42" s="1"/>
  <c r="K122" i="42" s="1"/>
  <c r="G150" i="42"/>
  <c r="I150" i="42" s="1"/>
  <c r="K150" i="42" s="1"/>
  <c r="I22" i="42"/>
  <c r="K22" i="42" s="1"/>
  <c r="H55" i="42"/>
  <c r="I55" i="42" s="1"/>
  <c r="K55" i="42" s="1"/>
  <c r="L55" i="42" s="1"/>
  <c r="Q55" i="42" s="1"/>
  <c r="S55" i="42" s="1"/>
  <c r="L40" i="42"/>
  <c r="Q40" i="42"/>
  <c r="S40" i="42" s="1"/>
  <c r="H13" i="42"/>
  <c r="I13" i="42" s="1"/>
  <c r="K13" i="42" s="1"/>
  <c r="G39" i="42"/>
  <c r="I39" i="42" s="1"/>
  <c r="K39" i="42" s="1"/>
  <c r="L39" i="42" s="1"/>
  <c r="Q39" i="42" s="1"/>
  <c r="S39" i="42" s="1"/>
  <c r="H142" i="42"/>
  <c r="I142" i="42" s="1"/>
  <c r="K142" i="42" s="1"/>
  <c r="L142" i="42" s="1"/>
  <c r="Q142" i="42" s="1"/>
  <c r="S142" i="42" s="1"/>
  <c r="H8" i="42"/>
  <c r="G102" i="42"/>
  <c r="I90" i="42"/>
  <c r="K90" i="42" s="1"/>
  <c r="L90" i="42" s="1"/>
  <c r="I81" i="42"/>
  <c r="K81" i="42" s="1"/>
  <c r="L81" i="42" s="1"/>
  <c r="Q81" i="42" s="1"/>
  <c r="S81" i="42" s="1"/>
  <c r="H104" i="42"/>
  <c r="I104" i="42" s="1"/>
  <c r="K104" i="42" s="1"/>
  <c r="L104" i="42" s="1"/>
  <c r="Q104" i="42" s="1"/>
  <c r="S104" i="42" s="1"/>
  <c r="G28" i="42"/>
  <c r="I28" i="42" s="1"/>
  <c r="K28" i="42" s="1"/>
  <c r="I8" i="42"/>
  <c r="K8" i="42" s="1"/>
  <c r="L8" i="42" s="1"/>
  <c r="Q8" i="42" s="1"/>
  <c r="S8" i="42" s="1"/>
  <c r="G101" i="42"/>
  <c r="I101" i="42" s="1"/>
  <c r="K101" i="42" s="1"/>
  <c r="L101" i="42" s="1"/>
  <c r="Q101" i="42" s="1"/>
  <c r="S101" i="42" s="1"/>
  <c r="I10" i="42"/>
  <c r="K10" i="42" s="1"/>
  <c r="L10" i="42" s="1"/>
  <c r="Q10" i="42" s="1"/>
  <c r="S10" i="42" s="1"/>
  <c r="I11" i="42"/>
  <c r="K11" i="42" s="1"/>
  <c r="L11" i="42" s="1"/>
  <c r="Q11" i="42" s="1"/>
  <c r="S11" i="42" s="1"/>
  <c r="G112" i="42"/>
  <c r="I112" i="42" s="1"/>
  <c r="K112" i="42" s="1"/>
  <c r="L112" i="42" s="1"/>
  <c r="Q112" i="42" s="1"/>
  <c r="S112" i="42" s="1"/>
  <c r="H126" i="42"/>
  <c r="H73" i="42"/>
  <c r="I73" i="42" s="1"/>
  <c r="K73" i="42" s="1"/>
  <c r="L73" i="42" s="1"/>
  <c r="Q73" i="42" s="1"/>
  <c r="S73" i="42" s="1"/>
  <c r="G19" i="42"/>
  <c r="I19" i="42" s="1"/>
  <c r="K19" i="42" s="1"/>
  <c r="G144" i="42"/>
  <c r="I144" i="42" s="1"/>
  <c r="K144" i="42" s="1"/>
  <c r="L144" i="42" s="1"/>
  <c r="Q144" i="42" s="1"/>
  <c r="S144" i="42" s="1"/>
  <c r="G152" i="42"/>
  <c r="I152" i="42" s="1"/>
  <c r="K152" i="42" s="1"/>
  <c r="L152" i="42" s="1"/>
  <c r="Q152" i="42" s="1"/>
  <c r="S152" i="42" s="1"/>
  <c r="G27" i="42"/>
  <c r="I27" i="42" s="1"/>
  <c r="K27" i="42" s="1"/>
  <c r="L27" i="42" s="1"/>
  <c r="Q27" i="42" s="1"/>
  <c r="S27" i="42" s="1"/>
  <c r="H87" i="42"/>
  <c r="I87" i="42" s="1"/>
  <c r="K87" i="42" s="1"/>
  <c r="L97" i="42"/>
  <c r="Q97" i="42"/>
  <c r="S97" i="42" s="1"/>
  <c r="L43" i="42"/>
  <c r="Q43" i="42" s="1"/>
  <c r="S43" i="42" s="1"/>
  <c r="L71" i="42"/>
  <c r="Q71" i="42" s="1"/>
  <c r="S71" i="42" s="1"/>
  <c r="L65" i="42"/>
  <c r="Q65" i="42"/>
  <c r="S65" i="42" s="1"/>
  <c r="I102" i="42"/>
  <c r="K102" i="42" s="1"/>
  <c r="L102" i="42" s="1"/>
  <c r="Q102" i="42" s="1"/>
  <c r="S102" i="42" s="1"/>
  <c r="G46" i="42"/>
  <c r="I46" i="42" s="1"/>
  <c r="K46" i="42" s="1"/>
  <c r="H148" i="42"/>
  <c r="G54" i="42"/>
  <c r="I54" i="42" s="1"/>
  <c r="K54" i="42" s="1"/>
  <c r="L54" i="42" s="1"/>
  <c r="Q54" i="42" s="1"/>
  <c r="S54" i="42" s="1"/>
  <c r="Q131" i="42"/>
  <c r="S131" i="42" s="1"/>
  <c r="I148" i="42"/>
  <c r="K148" i="42" s="1"/>
  <c r="L148" i="42" s="1"/>
  <c r="Q148" i="42" s="1"/>
  <c r="S148" i="42" s="1"/>
  <c r="H29" i="42"/>
  <c r="I29" i="42" s="1"/>
  <c r="K29" i="42" s="1"/>
  <c r="G75" i="42"/>
  <c r="I75" i="42" s="1"/>
  <c r="K75" i="42" s="1"/>
  <c r="I72" i="42"/>
  <c r="K72" i="42" s="1"/>
  <c r="I93" i="42"/>
  <c r="K93" i="42" s="1"/>
  <c r="L93" i="42" s="1"/>
  <c r="Q93" i="42" s="1"/>
  <c r="S93" i="42" s="1"/>
  <c r="G151" i="42"/>
  <c r="I151" i="42" s="1"/>
  <c r="K151" i="42" s="1"/>
  <c r="G132" i="42"/>
  <c r="I132" i="42" s="1"/>
  <c r="K132" i="42" s="1"/>
  <c r="G51" i="42"/>
  <c r="I51" i="42" s="1"/>
  <c r="K51" i="42" s="1"/>
  <c r="L51" i="42" s="1"/>
  <c r="Q51" i="42" s="1"/>
  <c r="S51" i="42" s="1"/>
  <c r="Q147" i="42"/>
  <c r="S147" i="42" s="1"/>
  <c r="I94" i="42"/>
  <c r="K94" i="42" s="1"/>
  <c r="G100" i="42"/>
  <c r="I100" i="42" s="1"/>
  <c r="K100" i="42" s="1"/>
  <c r="L100" i="42" s="1"/>
  <c r="I64" i="42"/>
  <c r="K64" i="42" s="1"/>
  <c r="L64" i="42" s="1"/>
  <c r="Q64" i="42" s="1"/>
  <c r="S64" i="42" s="1"/>
  <c r="I32" i="42"/>
  <c r="K32" i="42" s="1"/>
  <c r="L32" i="42" s="1"/>
  <c r="Q32" i="42" s="1"/>
  <c r="S32" i="42" s="1"/>
  <c r="I68" i="42"/>
  <c r="K68" i="42" s="1"/>
  <c r="L68" i="42" s="1"/>
  <c r="Q68" i="42" s="1"/>
  <c r="S68" i="42" s="1"/>
  <c r="H129" i="42"/>
  <c r="I129" i="42" s="1"/>
  <c r="K129" i="42" s="1"/>
  <c r="L129" i="42" s="1"/>
  <c r="Q129" i="42" s="1"/>
  <c r="S129" i="42" s="1"/>
  <c r="L52" i="42"/>
  <c r="Q52" i="42" s="1"/>
  <c r="S52" i="42" s="1"/>
  <c r="I38" i="42"/>
  <c r="K38" i="42" s="1"/>
  <c r="L38" i="42" s="1"/>
  <c r="Q38" i="42" s="1"/>
  <c r="S38" i="42" s="1"/>
  <c r="G70" i="42"/>
  <c r="I70" i="42" s="1"/>
  <c r="K70" i="42" s="1"/>
  <c r="L70" i="42" s="1"/>
  <c r="Q70" i="42" s="1"/>
  <c r="S70" i="42" s="1"/>
  <c r="H107" i="42"/>
  <c r="I107" i="42" s="1"/>
  <c r="K107" i="42" s="1"/>
  <c r="L107" i="42" s="1"/>
  <c r="Q107" i="42" s="1"/>
  <c r="S107" i="42" s="1"/>
  <c r="G114" i="42"/>
  <c r="I114" i="42" s="1"/>
  <c r="K114" i="42" s="1"/>
  <c r="L114" i="42" s="1"/>
  <c r="Q114" i="42" s="1"/>
  <c r="S114" i="42" s="1"/>
  <c r="I57" i="42"/>
  <c r="K57" i="42" s="1"/>
  <c r="L57" i="42" s="1"/>
  <c r="Q57" i="42" s="1"/>
  <c r="S57" i="42" s="1"/>
  <c r="H85" i="42"/>
  <c r="I85" i="42" s="1"/>
  <c r="K85" i="42" s="1"/>
  <c r="L85" i="42" s="1"/>
  <c r="Q85" i="42" s="1"/>
  <c r="S85" i="42" s="1"/>
  <c r="G84" i="42"/>
  <c r="I84" i="42" s="1"/>
  <c r="K84" i="42" s="1"/>
  <c r="L84" i="42" s="1"/>
  <c r="Q84" i="42" s="1"/>
  <c r="S84" i="42" s="1"/>
  <c r="G18" i="42"/>
  <c r="I18" i="42" s="1"/>
  <c r="K18" i="42" s="1"/>
  <c r="G105" i="42"/>
  <c r="I105" i="42" s="1"/>
  <c r="K105" i="42" s="1"/>
  <c r="L105" i="42" s="1"/>
  <c r="Q105" i="42" s="1"/>
  <c r="S105" i="42" s="1"/>
  <c r="I126" i="42"/>
  <c r="K126" i="42" s="1"/>
  <c r="L126" i="42" s="1"/>
  <c r="Q126" i="42" s="1"/>
  <c r="S126" i="42" s="1"/>
  <c r="G138" i="42"/>
  <c r="I138" i="42" s="1"/>
  <c r="K138" i="42" s="1"/>
  <c r="L95" i="42"/>
  <c r="Q95" i="42" s="1"/>
  <c r="S95" i="42" s="1"/>
  <c r="L24" i="42"/>
  <c r="Q24" i="42" s="1"/>
  <c r="S24" i="42" s="1"/>
  <c r="K6" i="42"/>
  <c r="L14" i="42"/>
  <c r="Q14" i="42" s="1"/>
  <c r="S14" i="42" s="1"/>
  <c r="L113" i="42"/>
  <c r="Q113" i="42"/>
  <c r="S113" i="42" s="1"/>
  <c r="L89" i="42"/>
  <c r="Q89" i="42" s="1"/>
  <c r="S89" i="42" s="1"/>
  <c r="L22" i="42"/>
  <c r="Q22" i="42"/>
  <c r="S22" i="42" s="1"/>
  <c r="G37" i="42"/>
  <c r="I37" i="42" s="1"/>
  <c r="K37" i="42" s="1"/>
  <c r="L133" i="42"/>
  <c r="Q133" i="42" s="1"/>
  <c r="S133" i="42" s="1"/>
  <c r="L92" i="42"/>
  <c r="Q92" i="42" s="1"/>
  <c r="S92" i="42" s="1"/>
  <c r="L48" i="42"/>
  <c r="Q48" i="42" s="1"/>
  <c r="S48" i="42" s="1"/>
  <c r="G106" i="42"/>
  <c r="I106" i="42" s="1"/>
  <c r="K106" i="42" s="1"/>
  <c r="L119" i="42"/>
  <c r="Q119" i="42"/>
  <c r="S119" i="42" s="1"/>
  <c r="L122" i="42"/>
  <c r="Q122" i="42" s="1"/>
  <c r="S122" i="42" s="1"/>
  <c r="G47" i="42"/>
  <c r="I47" i="42" s="1"/>
  <c r="K47" i="42" s="1"/>
  <c r="I33" i="42"/>
  <c r="K33" i="42" s="1"/>
  <c r="L25" i="42"/>
  <c r="Q25" i="42" s="1"/>
  <c r="S25" i="42" s="1"/>
  <c r="G82" i="42"/>
  <c r="I82" i="42" s="1"/>
  <c r="K82" i="42" s="1"/>
  <c r="G49" i="42"/>
  <c r="I49" i="42" s="1"/>
  <c r="K49" i="42" s="1"/>
  <c r="H20" i="42"/>
  <c r="I20" i="42" s="1"/>
  <c r="L130" i="42"/>
  <c r="Q130" i="42" s="1"/>
  <c r="S130" i="42" s="1"/>
  <c r="L99" i="42"/>
  <c r="Q99" i="42" s="1"/>
  <c r="S99" i="42" s="1"/>
  <c r="L150" i="42"/>
  <c r="Q150" i="42"/>
  <c r="S150" i="42" s="1"/>
  <c r="H98" i="42"/>
  <c r="I98" i="42" s="1"/>
  <c r="K98" i="42" s="1"/>
  <c r="L7" i="42"/>
  <c r="Q7" i="42" s="1"/>
  <c r="S7" i="42" s="1"/>
  <c r="G58" i="42"/>
  <c r="I58" i="42" s="1"/>
  <c r="K58" i="42" s="1"/>
  <c r="L41" i="42"/>
  <c r="Q41" i="42" s="1"/>
  <c r="S41" i="42" s="1"/>
  <c r="L91" i="42"/>
  <c r="Q91" i="42"/>
  <c r="S91" i="42" s="1"/>
  <c r="L141" i="42"/>
  <c r="Q141" i="42"/>
  <c r="S141" i="42" s="1"/>
  <c r="L35" i="42"/>
  <c r="Q35" i="42" s="1"/>
  <c r="S35" i="42" s="1"/>
  <c r="L31" i="42"/>
  <c r="Q31" i="42" s="1"/>
  <c r="S31" i="42" s="1"/>
  <c r="L135" i="42"/>
  <c r="Q135" i="42" s="1"/>
  <c r="S135" i="42" s="1"/>
  <c r="L78" i="42"/>
  <c r="Q78" i="42"/>
  <c r="S78" i="42" s="1"/>
  <c r="L96" i="42"/>
  <c r="Q96" i="42" s="1"/>
  <c r="S96" i="42" s="1"/>
  <c r="L127" i="42"/>
  <c r="Q127" i="42" s="1"/>
  <c r="S127" i="42" s="1"/>
  <c r="L149" i="42"/>
  <c r="Q149" i="42" s="1"/>
  <c r="S149" i="42" s="1"/>
  <c r="I16" i="42"/>
  <c r="K16" i="42" s="1"/>
  <c r="G23" i="42"/>
  <c r="I23" i="42" s="1"/>
  <c r="K23" i="42" s="1"/>
  <c r="I145" i="42"/>
  <c r="K145" i="42" s="1"/>
  <c r="L116" i="42"/>
  <c r="Q116" i="42"/>
  <c r="S116" i="42" s="1"/>
  <c r="L9" i="42"/>
  <c r="Q9" i="42" s="1"/>
  <c r="S9" i="42" s="1"/>
  <c r="L74" i="42"/>
  <c r="Q74" i="42" s="1"/>
  <c r="S74" i="42" s="1"/>
  <c r="L111" i="42"/>
  <c r="Q111" i="42" s="1"/>
  <c r="S111" i="42" s="1"/>
  <c r="L63" i="42"/>
  <c r="Q63" i="42"/>
  <c r="S63" i="42" s="1"/>
  <c r="I123" i="42"/>
  <c r="K123" i="42" s="1"/>
  <c r="G128" i="42"/>
  <c r="I128" i="42" s="1"/>
  <c r="K128" i="42" s="1"/>
  <c r="I139" i="42"/>
  <c r="K139" i="42" s="1"/>
  <c r="I60" i="42"/>
  <c r="K60" i="42" s="1"/>
  <c r="L80" i="42"/>
  <c r="Q80" i="42" s="1"/>
  <c r="S80" i="42" s="1"/>
  <c r="L17" i="42"/>
  <c r="Q17" i="42" s="1"/>
  <c r="S17" i="42" s="1"/>
  <c r="L36" i="42"/>
  <c r="Q36" i="42" s="1"/>
  <c r="S36" i="42" s="1"/>
  <c r="L53" i="42"/>
  <c r="Q53" i="42" s="1"/>
  <c r="S53" i="42" s="1"/>
  <c r="L77" i="42"/>
  <c r="Q77" i="42" s="1"/>
  <c r="S77" i="42" s="1"/>
  <c r="L117" i="42"/>
  <c r="Q117" i="42" s="1"/>
  <c r="S117" i="42" s="1"/>
  <c r="G15" i="42"/>
  <c r="I15" i="42" s="1"/>
  <c r="K15" i="42" s="1"/>
  <c r="G69" i="42"/>
  <c r="I69" i="42" s="1"/>
  <c r="K69" i="42" s="1"/>
  <c r="G79" i="42"/>
  <c r="I79" i="42" s="1"/>
  <c r="K79" i="42" s="1"/>
  <c r="L138" i="42"/>
  <c r="L143" i="42"/>
  <c r="Q143" i="42" s="1"/>
  <c r="S143" i="42" s="1"/>
  <c r="G124" i="42"/>
  <c r="I124" i="42" s="1"/>
  <c r="K124" i="42" s="1"/>
  <c r="L45" i="42"/>
  <c r="Q45" i="42"/>
  <c r="S45" i="42" s="1"/>
  <c r="L136" i="42"/>
  <c r="Q136" i="42" s="1"/>
  <c r="S136" i="42" s="1"/>
  <c r="L61" i="42"/>
  <c r="Q61" i="42" s="1"/>
  <c r="S61" i="42" s="1"/>
  <c r="G59" i="42"/>
  <c r="I59" i="42" s="1"/>
  <c r="K59" i="42" s="1"/>
  <c r="L44" i="42"/>
  <c r="Q44" i="42" s="1"/>
  <c r="S44" i="42" s="1"/>
  <c r="L140" i="42"/>
  <c r="Q140" i="42" s="1"/>
  <c r="S140" i="42" s="1"/>
  <c r="L108" i="42"/>
  <c r="Q108" i="42" s="1"/>
  <c r="S108" i="42" s="1"/>
  <c r="I67" i="42"/>
  <c r="K67" i="42" s="1"/>
  <c r="G76" i="42"/>
  <c r="I76" i="42" s="1"/>
  <c r="K76" i="42" s="1"/>
  <c r="L50" i="42"/>
  <c r="Q50" i="42"/>
  <c r="S50" i="42" s="1"/>
  <c r="G110" i="42"/>
  <c r="I110" i="42" s="1"/>
  <c r="K110" i="42" s="1"/>
  <c r="G88" i="42"/>
  <c r="I88" i="42" s="1"/>
  <c r="K88" i="42" s="1"/>
  <c r="Q90" i="42" l="1"/>
  <c r="S90" i="42" s="1"/>
  <c r="Q138" i="42"/>
  <c r="S138" i="42" s="1"/>
  <c r="L19" i="42"/>
  <c r="Q19" i="42" s="1"/>
  <c r="S19" i="42" s="1"/>
  <c r="L132" i="42"/>
  <c r="Q132" i="42" s="1"/>
  <c r="S132" i="42" s="1"/>
  <c r="L29" i="42"/>
  <c r="Q29" i="42" s="1"/>
  <c r="S29" i="42" s="1"/>
  <c r="L46" i="42"/>
  <c r="Q46" i="42"/>
  <c r="S46" i="42" s="1"/>
  <c r="G153" i="42"/>
  <c r="L18" i="42"/>
  <c r="Q18" i="42"/>
  <c r="S18" i="42" s="1"/>
  <c r="L87" i="42"/>
  <c r="Q87" i="42"/>
  <c r="S87" i="42" s="1"/>
  <c r="L94" i="42"/>
  <c r="Q94" i="42"/>
  <c r="S94" i="42" s="1"/>
  <c r="L28" i="42"/>
  <c r="Q28" i="42"/>
  <c r="S28" i="42" s="1"/>
  <c r="Q100" i="42"/>
  <c r="S100" i="42" s="1"/>
  <c r="L72" i="42"/>
  <c r="Q72" i="42"/>
  <c r="S72" i="42" s="1"/>
  <c r="L75" i="42"/>
  <c r="Q75" i="42"/>
  <c r="S75" i="42" s="1"/>
  <c r="K20" i="42"/>
  <c r="I153" i="42"/>
  <c r="L98" i="42"/>
  <c r="Q98" i="42" s="1"/>
  <c r="S98" i="42" s="1"/>
  <c r="L15" i="42"/>
  <c r="Q15" i="42" s="1"/>
  <c r="S15" i="42" s="1"/>
  <c r="L60" i="42"/>
  <c r="Q60" i="42" s="1"/>
  <c r="S60" i="42" s="1"/>
  <c r="L145" i="42"/>
  <c r="Q145" i="42" s="1"/>
  <c r="S145" i="42" s="1"/>
  <c r="L23" i="42"/>
  <c r="Q23" i="42" s="1"/>
  <c r="S23" i="42" s="1"/>
  <c r="L139" i="42"/>
  <c r="Q139" i="42" s="1"/>
  <c r="S139" i="42" s="1"/>
  <c r="L37" i="42"/>
  <c r="Q37" i="42" s="1"/>
  <c r="S37" i="42" s="1"/>
  <c r="L58" i="42"/>
  <c r="Q58" i="42" s="1"/>
  <c r="S58" i="42" s="1"/>
  <c r="L6" i="42"/>
  <c r="Q6" i="42"/>
  <c r="L49" i="42"/>
  <c r="Q49" i="42"/>
  <c r="S49" i="42" s="1"/>
  <c r="L67" i="42"/>
  <c r="Q67" i="42" s="1"/>
  <c r="S67" i="42" s="1"/>
  <c r="L69" i="42"/>
  <c r="Q69" i="42"/>
  <c r="S69" i="42" s="1"/>
  <c r="L82" i="42"/>
  <c r="Q82" i="42" s="1"/>
  <c r="S82" i="42" s="1"/>
  <c r="L59" i="42"/>
  <c r="Q59" i="42"/>
  <c r="S59" i="42" s="1"/>
  <c r="L128" i="42"/>
  <c r="Q128" i="42"/>
  <c r="S128" i="42" s="1"/>
  <c r="L123" i="42"/>
  <c r="Q123" i="42" s="1"/>
  <c r="L33" i="42"/>
  <c r="Q33" i="42" s="1"/>
  <c r="S33" i="42" s="1"/>
  <c r="L79" i="42"/>
  <c r="Q79" i="42" s="1"/>
  <c r="S79" i="42" s="1"/>
  <c r="L16" i="42"/>
  <c r="Q16" i="42" s="1"/>
  <c r="S16" i="42" s="1"/>
  <c r="L151" i="42"/>
  <c r="Q151" i="42" s="1"/>
  <c r="S151" i="42" s="1"/>
  <c r="L47" i="42"/>
  <c r="Q47" i="42"/>
  <c r="S47" i="42" s="1"/>
  <c r="L88" i="42"/>
  <c r="Q88" i="42" s="1"/>
  <c r="S88" i="42" s="1"/>
  <c r="L13" i="42"/>
  <c r="Q13" i="42"/>
  <c r="S13" i="42" s="1"/>
  <c r="L110" i="42"/>
  <c r="Q110" i="42"/>
  <c r="S110" i="42" s="1"/>
  <c r="L124" i="42"/>
  <c r="Q124" i="42" s="1"/>
  <c r="S124" i="42" s="1"/>
  <c r="L76" i="42"/>
  <c r="Q76" i="42" s="1"/>
  <c r="S76" i="42" s="1"/>
  <c r="L106" i="42"/>
  <c r="Q106" i="42" s="1"/>
  <c r="S106" i="42" s="1"/>
  <c r="L20" i="42" l="1"/>
  <c r="Q20" i="42" s="1"/>
  <c r="S6" i="42"/>
  <c r="S20" i="42" l="1"/>
  <c r="S153" i="42" s="1"/>
  <c r="Q153" i="42"/>
  <c r="J153" i="41" l="1"/>
  <c r="H153" i="41"/>
  <c r="G153" i="41"/>
  <c r="F153" i="41"/>
  <c r="E153" i="41"/>
  <c r="D153" i="41"/>
  <c r="C153" i="41"/>
  <c r="K152" i="41"/>
  <c r="I152" i="41"/>
  <c r="I151" i="41"/>
  <c r="K151" i="41" s="1"/>
  <c r="I150" i="41"/>
  <c r="K150" i="41" s="1"/>
  <c r="I149" i="41"/>
  <c r="K149" i="41" s="1"/>
  <c r="I148" i="41"/>
  <c r="K148" i="41" s="1"/>
  <c r="I147" i="41"/>
  <c r="K147" i="41" s="1"/>
  <c r="K146" i="41"/>
  <c r="I146" i="41"/>
  <c r="I145" i="41"/>
  <c r="K145" i="41" s="1"/>
  <c r="I144" i="41"/>
  <c r="K144" i="41" s="1"/>
  <c r="I143" i="41"/>
  <c r="K143" i="41" s="1"/>
  <c r="I142" i="41"/>
  <c r="K142" i="41" s="1"/>
  <c r="K141" i="41"/>
  <c r="I141" i="41"/>
  <c r="I140" i="41"/>
  <c r="K140" i="41" s="1"/>
  <c r="I139" i="41"/>
  <c r="K139" i="41" s="1"/>
  <c r="I138" i="41"/>
  <c r="K138" i="41" s="1"/>
  <c r="I137" i="41"/>
  <c r="K137" i="41" s="1"/>
  <c r="I136" i="41"/>
  <c r="K136" i="41" s="1"/>
  <c r="K135" i="41"/>
  <c r="I135" i="41"/>
  <c r="I134" i="41"/>
  <c r="K134" i="41" s="1"/>
  <c r="I133" i="41"/>
  <c r="K133" i="41" s="1"/>
  <c r="I132" i="41"/>
  <c r="K132" i="41" s="1"/>
  <c r="I131" i="41"/>
  <c r="K131" i="41" s="1"/>
  <c r="K130" i="41"/>
  <c r="I130" i="41"/>
  <c r="I129" i="41"/>
  <c r="K129" i="41" s="1"/>
  <c r="I128" i="41"/>
  <c r="K128" i="41" s="1"/>
  <c r="I127" i="41"/>
  <c r="K127" i="41" s="1"/>
  <c r="I126" i="41"/>
  <c r="K126" i="41" s="1"/>
  <c r="I125" i="41"/>
  <c r="K125" i="41" s="1"/>
  <c r="K124" i="41"/>
  <c r="I124" i="41"/>
  <c r="I123" i="41"/>
  <c r="K123" i="41" s="1"/>
  <c r="I122" i="41"/>
  <c r="K122" i="41" s="1"/>
  <c r="I121" i="41"/>
  <c r="K121" i="41" s="1"/>
  <c r="I120" i="41"/>
  <c r="K120" i="41" s="1"/>
  <c r="K119" i="41"/>
  <c r="I119" i="41"/>
  <c r="I118" i="41"/>
  <c r="K118" i="41" s="1"/>
  <c r="I117" i="41"/>
  <c r="K117" i="41" s="1"/>
  <c r="I116" i="41"/>
  <c r="K116" i="41" s="1"/>
  <c r="I115" i="41"/>
  <c r="K115" i="41" s="1"/>
  <c r="I114" i="41"/>
  <c r="K114" i="41" s="1"/>
  <c r="K113" i="41"/>
  <c r="I113" i="41"/>
  <c r="I112" i="41"/>
  <c r="K112" i="41" s="1"/>
  <c r="I111" i="41"/>
  <c r="K111" i="41" s="1"/>
  <c r="I110" i="41"/>
  <c r="K110" i="41" s="1"/>
  <c r="I109" i="41"/>
  <c r="K109" i="41" s="1"/>
  <c r="K108" i="41"/>
  <c r="I108" i="41"/>
  <c r="I107" i="41"/>
  <c r="K107" i="41" s="1"/>
  <c r="I106" i="41"/>
  <c r="K106" i="41" s="1"/>
  <c r="I105" i="41"/>
  <c r="K105" i="41" s="1"/>
  <c r="I104" i="41"/>
  <c r="K104" i="41" s="1"/>
  <c r="I103" i="41"/>
  <c r="K103" i="41" s="1"/>
  <c r="K102" i="41"/>
  <c r="I102" i="41"/>
  <c r="I101" i="41"/>
  <c r="K101" i="41" s="1"/>
  <c r="I100" i="41"/>
  <c r="K100" i="41" s="1"/>
  <c r="I99" i="41"/>
  <c r="K99" i="41" s="1"/>
  <c r="I98" i="41"/>
  <c r="K98" i="41" s="1"/>
  <c r="K97" i="41"/>
  <c r="I97" i="41"/>
  <c r="I96" i="41"/>
  <c r="K96" i="41" s="1"/>
  <c r="I95" i="41"/>
  <c r="K95" i="41" s="1"/>
  <c r="I94" i="41"/>
  <c r="K94" i="41" s="1"/>
  <c r="I93" i="41"/>
  <c r="K93" i="41" s="1"/>
  <c r="I92" i="41"/>
  <c r="K92" i="41" s="1"/>
  <c r="K91" i="41"/>
  <c r="I91" i="41"/>
  <c r="I90" i="41"/>
  <c r="K90" i="41" s="1"/>
  <c r="I89" i="41"/>
  <c r="K89" i="41" s="1"/>
  <c r="I88" i="41"/>
  <c r="K88" i="41" s="1"/>
  <c r="I87" i="41"/>
  <c r="K87" i="41" s="1"/>
  <c r="K86" i="41"/>
  <c r="I86" i="41"/>
  <c r="I85" i="41"/>
  <c r="K85" i="41" s="1"/>
  <c r="I84" i="41"/>
  <c r="K84" i="41" s="1"/>
  <c r="I83" i="41"/>
  <c r="K83" i="41" s="1"/>
  <c r="I82" i="41"/>
  <c r="K82" i="41" s="1"/>
  <c r="I81" i="41"/>
  <c r="K81" i="41" s="1"/>
  <c r="K80" i="41"/>
  <c r="I80" i="41"/>
  <c r="I79" i="41"/>
  <c r="K79" i="41" s="1"/>
  <c r="I78" i="41"/>
  <c r="K78" i="41" s="1"/>
  <c r="I77" i="41"/>
  <c r="K77" i="41" s="1"/>
  <c r="I76" i="41"/>
  <c r="K76" i="41" s="1"/>
  <c r="K75" i="41"/>
  <c r="I75" i="41"/>
  <c r="I74" i="41"/>
  <c r="K74" i="41" s="1"/>
  <c r="I73" i="41"/>
  <c r="K73" i="41" s="1"/>
  <c r="I72" i="41"/>
  <c r="K72" i="41" s="1"/>
  <c r="I71" i="41"/>
  <c r="K71" i="41" s="1"/>
  <c r="I70" i="41"/>
  <c r="K70" i="41" s="1"/>
  <c r="K69" i="41"/>
  <c r="I69" i="41"/>
  <c r="I68" i="41"/>
  <c r="K68" i="41" s="1"/>
  <c r="I67" i="41"/>
  <c r="K67" i="41" s="1"/>
  <c r="I66" i="41"/>
  <c r="K66" i="41" s="1"/>
  <c r="I65" i="41"/>
  <c r="K65" i="41" s="1"/>
  <c r="K64" i="41"/>
  <c r="I64" i="41"/>
  <c r="I63" i="41"/>
  <c r="K63" i="41" s="1"/>
  <c r="I62" i="41"/>
  <c r="K62" i="41" s="1"/>
  <c r="I61" i="41"/>
  <c r="K61" i="41" s="1"/>
  <c r="I60" i="41"/>
  <c r="K60" i="41" s="1"/>
  <c r="I59" i="41"/>
  <c r="K59" i="41" s="1"/>
  <c r="K58" i="41"/>
  <c r="I58" i="41"/>
  <c r="I57" i="41"/>
  <c r="K57" i="41" s="1"/>
  <c r="I56" i="41"/>
  <c r="K56" i="41" s="1"/>
  <c r="I55" i="41"/>
  <c r="K55" i="41" s="1"/>
  <c r="I54" i="41"/>
  <c r="K54" i="41" s="1"/>
  <c r="K53" i="41"/>
  <c r="I53" i="41"/>
  <c r="I52" i="41"/>
  <c r="K52" i="41" s="1"/>
  <c r="I51" i="41"/>
  <c r="K51" i="41" s="1"/>
  <c r="I50" i="41"/>
  <c r="K50" i="41" s="1"/>
  <c r="I49" i="41"/>
  <c r="K49" i="41" s="1"/>
  <c r="I48" i="41"/>
  <c r="K48" i="41" s="1"/>
  <c r="K47" i="41"/>
  <c r="I47" i="41"/>
  <c r="I46" i="41"/>
  <c r="K46" i="41" s="1"/>
  <c r="I45" i="41"/>
  <c r="K45" i="41" s="1"/>
  <c r="I44" i="41"/>
  <c r="K44" i="41" s="1"/>
  <c r="I43" i="41"/>
  <c r="K43" i="41" s="1"/>
  <c r="K42" i="41"/>
  <c r="I42" i="41"/>
  <c r="I41" i="41"/>
  <c r="K41" i="41" s="1"/>
  <c r="I40" i="41"/>
  <c r="K40" i="41" s="1"/>
  <c r="I39" i="41"/>
  <c r="K39" i="41" s="1"/>
  <c r="I38" i="41"/>
  <c r="K38" i="41" s="1"/>
  <c r="I37" i="41"/>
  <c r="K37" i="41" s="1"/>
  <c r="K36" i="41"/>
  <c r="I36" i="41"/>
  <c r="I35" i="41"/>
  <c r="K35" i="41" s="1"/>
  <c r="I34" i="41"/>
  <c r="K34" i="41" s="1"/>
  <c r="I33" i="41"/>
  <c r="K33" i="41" s="1"/>
  <c r="I32" i="41"/>
  <c r="K32" i="41" s="1"/>
  <c r="K31" i="41"/>
  <c r="I31" i="41"/>
  <c r="I30" i="41"/>
  <c r="K30" i="41" s="1"/>
  <c r="I29" i="41"/>
  <c r="K29" i="41" s="1"/>
  <c r="I28" i="41"/>
  <c r="K28" i="41" s="1"/>
  <c r="I27" i="41"/>
  <c r="K27" i="41" s="1"/>
  <c r="I26" i="41"/>
  <c r="K26" i="41" s="1"/>
  <c r="K25" i="41"/>
  <c r="I25" i="41"/>
  <c r="I24" i="41"/>
  <c r="K24" i="41" s="1"/>
  <c r="I23" i="41"/>
  <c r="K23" i="41" s="1"/>
  <c r="I22" i="41"/>
  <c r="K22" i="41" s="1"/>
  <c r="I21" i="41"/>
  <c r="K21" i="41" s="1"/>
  <c r="K20" i="41"/>
  <c r="I20" i="41"/>
  <c r="I19" i="41"/>
  <c r="K19" i="41" s="1"/>
  <c r="I18" i="41"/>
  <c r="K18" i="41" s="1"/>
  <c r="I17" i="41"/>
  <c r="K17" i="41" s="1"/>
  <c r="I16" i="41"/>
  <c r="K16" i="41" s="1"/>
  <c r="I15" i="41"/>
  <c r="K15" i="41" s="1"/>
  <c r="K14" i="41"/>
  <c r="I14" i="41"/>
  <c r="I13" i="41"/>
  <c r="K13" i="41" s="1"/>
  <c r="I12" i="41"/>
  <c r="K12" i="41" s="1"/>
  <c r="I11" i="41"/>
  <c r="K11" i="41" s="1"/>
  <c r="I10" i="41"/>
  <c r="K10" i="41" s="1"/>
  <c r="K9" i="41"/>
  <c r="I9" i="41"/>
  <c r="I8" i="41"/>
  <c r="K8" i="41" s="1"/>
  <c r="I7" i="41"/>
  <c r="K7" i="41" s="1"/>
  <c r="I6" i="41"/>
  <c r="K6" i="41" s="1"/>
  <c r="I5" i="41"/>
  <c r="I153" i="41" s="1"/>
  <c r="K5" i="41" l="1"/>
  <c r="K153" i="41" s="1"/>
  <c r="S155" i="40" l="1"/>
  <c r="R155" i="40"/>
  <c r="Q155" i="40"/>
  <c r="P155" i="40"/>
  <c r="O155" i="40"/>
  <c r="N155" i="40"/>
  <c r="M155" i="40"/>
  <c r="L155" i="40"/>
  <c r="K155" i="40"/>
  <c r="J155" i="40"/>
  <c r="I155" i="40"/>
  <c r="H155" i="40"/>
  <c r="G155" i="40"/>
  <c r="F155" i="40"/>
  <c r="E155" i="40"/>
  <c r="D155" i="40"/>
  <c r="C155" i="40"/>
  <c r="U158" i="40" s="1"/>
  <c r="V153" i="40"/>
  <c r="U153" i="40"/>
  <c r="T153" i="40"/>
  <c r="X153" i="40" s="1"/>
  <c r="X152" i="40"/>
  <c r="W152" i="40"/>
  <c r="V152" i="40"/>
  <c r="U152" i="40"/>
  <c r="T152" i="40"/>
  <c r="X151" i="40"/>
  <c r="V151" i="40"/>
  <c r="W151" i="40" s="1"/>
  <c r="U151" i="40"/>
  <c r="T151" i="40"/>
  <c r="V150" i="40"/>
  <c r="U150" i="40"/>
  <c r="T150" i="40"/>
  <c r="X150" i="40" s="1"/>
  <c r="V149" i="40"/>
  <c r="U149" i="40"/>
  <c r="T149" i="40"/>
  <c r="X149" i="40" s="1"/>
  <c r="V148" i="40"/>
  <c r="U148" i="40"/>
  <c r="T148" i="40"/>
  <c r="V147" i="40"/>
  <c r="X147" i="40" s="1"/>
  <c r="U147" i="40"/>
  <c r="T147" i="40"/>
  <c r="V146" i="40"/>
  <c r="U146" i="40"/>
  <c r="T146" i="40"/>
  <c r="X146" i="40" s="1"/>
  <c r="V145" i="40"/>
  <c r="U145" i="40"/>
  <c r="T145" i="40"/>
  <c r="X145" i="40" s="1"/>
  <c r="V144" i="40"/>
  <c r="U144" i="40"/>
  <c r="T144" i="40"/>
  <c r="X143" i="40"/>
  <c r="W143" i="40"/>
  <c r="V143" i="40"/>
  <c r="U143" i="40"/>
  <c r="T143" i="40"/>
  <c r="W142" i="40"/>
  <c r="V142" i="40"/>
  <c r="U142" i="40"/>
  <c r="T142" i="40"/>
  <c r="X142" i="40" s="1"/>
  <c r="V141" i="40"/>
  <c r="U141" i="40"/>
  <c r="T141" i="40"/>
  <c r="X141" i="40" s="1"/>
  <c r="V140" i="40"/>
  <c r="U140" i="40"/>
  <c r="T140" i="40"/>
  <c r="X140" i="40" s="1"/>
  <c r="W139" i="40"/>
  <c r="V139" i="40"/>
  <c r="U139" i="40"/>
  <c r="X139" i="40" s="1"/>
  <c r="T139" i="40"/>
  <c r="X138" i="40"/>
  <c r="W138" i="40"/>
  <c r="V138" i="40"/>
  <c r="U138" i="40"/>
  <c r="T138" i="40"/>
  <c r="V137" i="40"/>
  <c r="U137" i="40"/>
  <c r="T137" i="40"/>
  <c r="W137" i="40" s="1"/>
  <c r="V136" i="40"/>
  <c r="U136" i="40"/>
  <c r="T136" i="40"/>
  <c r="X136" i="40" s="1"/>
  <c r="V135" i="40"/>
  <c r="U135" i="40"/>
  <c r="T135" i="40"/>
  <c r="X134" i="40"/>
  <c r="V134" i="40"/>
  <c r="U134" i="40"/>
  <c r="W134" i="40" s="1"/>
  <c r="T134" i="40"/>
  <c r="V133" i="40"/>
  <c r="U133" i="40"/>
  <c r="T133" i="40"/>
  <c r="X133" i="40" s="1"/>
  <c r="V132" i="40"/>
  <c r="U132" i="40"/>
  <c r="T132" i="40"/>
  <c r="X132" i="40" s="1"/>
  <c r="V131" i="40"/>
  <c r="U131" i="40"/>
  <c r="T131" i="40"/>
  <c r="X131" i="40" s="1"/>
  <c r="V130" i="40"/>
  <c r="X130" i="40" s="1"/>
  <c r="U130" i="40"/>
  <c r="T130" i="40"/>
  <c r="X129" i="40"/>
  <c r="V129" i="40"/>
  <c r="U129" i="40"/>
  <c r="W129" i="40" s="1"/>
  <c r="T129" i="40"/>
  <c r="V128" i="40"/>
  <c r="U128" i="40"/>
  <c r="T128" i="40"/>
  <c r="W128" i="40" s="1"/>
  <c r="V127" i="40"/>
  <c r="U127" i="40"/>
  <c r="T127" i="40"/>
  <c r="X127" i="40" s="1"/>
  <c r="V126" i="40"/>
  <c r="U126" i="40"/>
  <c r="T126" i="40"/>
  <c r="V125" i="40"/>
  <c r="X125" i="40" s="1"/>
  <c r="U125" i="40"/>
  <c r="T125" i="40"/>
  <c r="V124" i="40"/>
  <c r="U124" i="40"/>
  <c r="T124" i="40"/>
  <c r="X124" i="40" s="1"/>
  <c r="V123" i="40"/>
  <c r="U123" i="40"/>
  <c r="T123" i="40"/>
  <c r="X123" i="40" s="1"/>
  <c r="V122" i="40"/>
  <c r="U122" i="40"/>
  <c r="T122" i="40"/>
  <c r="X121" i="40"/>
  <c r="W121" i="40"/>
  <c r="V121" i="40"/>
  <c r="U121" i="40"/>
  <c r="T121" i="40"/>
  <c r="W120" i="40"/>
  <c r="V120" i="40"/>
  <c r="U120" i="40"/>
  <c r="T120" i="40"/>
  <c r="X120" i="40" s="1"/>
  <c r="V119" i="40"/>
  <c r="U119" i="40"/>
  <c r="T119" i="40"/>
  <c r="X119" i="40" s="1"/>
  <c r="V118" i="40"/>
  <c r="U118" i="40"/>
  <c r="T118" i="40"/>
  <c r="W118" i="40" s="1"/>
  <c r="V117" i="40"/>
  <c r="U117" i="40"/>
  <c r="X117" i="40" s="1"/>
  <c r="T117" i="40"/>
  <c r="X116" i="40"/>
  <c r="W116" i="40"/>
  <c r="V116" i="40"/>
  <c r="U116" i="40"/>
  <c r="T116" i="40"/>
  <c r="V115" i="40"/>
  <c r="U115" i="40"/>
  <c r="T115" i="40"/>
  <c r="W115" i="40" s="1"/>
  <c r="V114" i="40"/>
  <c r="U114" i="40"/>
  <c r="T114" i="40"/>
  <c r="X114" i="40" s="1"/>
  <c r="V113" i="40"/>
  <c r="U113" i="40"/>
  <c r="T113" i="40"/>
  <c r="X112" i="40"/>
  <c r="V112" i="40"/>
  <c r="U112" i="40"/>
  <c r="W112" i="40" s="1"/>
  <c r="T112" i="40"/>
  <c r="V111" i="40"/>
  <c r="U111" i="40"/>
  <c r="T111" i="40"/>
  <c r="X111" i="40" s="1"/>
  <c r="V110" i="40"/>
  <c r="U110" i="40"/>
  <c r="T110" i="40"/>
  <c r="X110" i="40" s="1"/>
  <c r="V109" i="40"/>
  <c r="U109" i="40"/>
  <c r="T109" i="40"/>
  <c r="X109" i="40" s="1"/>
  <c r="V108" i="40"/>
  <c r="W108" i="40" s="1"/>
  <c r="U108" i="40"/>
  <c r="T108" i="40"/>
  <c r="X107" i="40"/>
  <c r="V107" i="40"/>
  <c r="U107" i="40"/>
  <c r="W107" i="40" s="1"/>
  <c r="T107" i="40"/>
  <c r="V106" i="40"/>
  <c r="U106" i="40"/>
  <c r="T106" i="40"/>
  <c r="X106" i="40" s="1"/>
  <c r="V105" i="40"/>
  <c r="U105" i="40"/>
  <c r="T105" i="40"/>
  <c r="W105" i="40" s="1"/>
  <c r="V104" i="40"/>
  <c r="U104" i="40"/>
  <c r="T104" i="40"/>
  <c r="V103" i="40"/>
  <c r="X103" i="40" s="1"/>
  <c r="U103" i="40"/>
  <c r="T103" i="40"/>
  <c r="V102" i="40"/>
  <c r="U102" i="40"/>
  <c r="T102" i="40"/>
  <c r="X102" i="40" s="1"/>
  <c r="V101" i="40"/>
  <c r="U101" i="40"/>
  <c r="T101" i="40"/>
  <c r="W101" i="40" s="1"/>
  <c r="V100" i="40"/>
  <c r="U100" i="40"/>
  <c r="T100" i="40"/>
  <c r="X99" i="40"/>
  <c r="W99" i="40"/>
  <c r="V99" i="40"/>
  <c r="U99" i="40"/>
  <c r="T99" i="40"/>
  <c r="W98" i="40"/>
  <c r="V98" i="40"/>
  <c r="U98" i="40"/>
  <c r="T98" i="40"/>
  <c r="X98" i="40" s="1"/>
  <c r="V97" i="40"/>
  <c r="U97" i="40"/>
  <c r="T97" i="40"/>
  <c r="X97" i="40" s="1"/>
  <c r="V96" i="40"/>
  <c r="U96" i="40"/>
  <c r="T96" i="40"/>
  <c r="X96" i="40" s="1"/>
  <c r="V95" i="40"/>
  <c r="U95" i="40"/>
  <c r="X95" i="40" s="1"/>
  <c r="T95" i="40"/>
  <c r="X94" i="40"/>
  <c r="W94" i="40"/>
  <c r="V94" i="40"/>
  <c r="U94" i="40"/>
  <c r="T94" i="40"/>
  <c r="V93" i="40"/>
  <c r="U93" i="40"/>
  <c r="T93" i="40"/>
  <c r="X93" i="40" s="1"/>
  <c r="V92" i="40"/>
  <c r="U92" i="40"/>
  <c r="T92" i="40"/>
  <c r="X92" i="40" s="1"/>
  <c r="V91" i="40"/>
  <c r="U91" i="40"/>
  <c r="T91" i="40"/>
  <c r="X90" i="40"/>
  <c r="V90" i="40"/>
  <c r="U90" i="40"/>
  <c r="W90" i="40" s="1"/>
  <c r="T90" i="40"/>
  <c r="V89" i="40"/>
  <c r="U89" i="40"/>
  <c r="T89" i="40"/>
  <c r="X89" i="40" s="1"/>
  <c r="V88" i="40"/>
  <c r="U88" i="40"/>
  <c r="T88" i="40"/>
  <c r="X88" i="40" s="1"/>
  <c r="V87" i="40"/>
  <c r="U87" i="40"/>
  <c r="T87" i="40"/>
  <c r="W87" i="40" s="1"/>
  <c r="X86" i="40"/>
  <c r="V86" i="40"/>
  <c r="W86" i="40" s="1"/>
  <c r="U86" i="40"/>
  <c r="T86" i="40"/>
  <c r="X85" i="40"/>
  <c r="V85" i="40"/>
  <c r="U85" i="40"/>
  <c r="W85" i="40" s="1"/>
  <c r="T85" i="40"/>
  <c r="V84" i="40"/>
  <c r="U84" i="40"/>
  <c r="T84" i="40"/>
  <c r="W84" i="40" s="1"/>
  <c r="V83" i="40"/>
  <c r="U83" i="40"/>
  <c r="T83" i="40"/>
  <c r="W83" i="40" s="1"/>
  <c r="V82" i="40"/>
  <c r="U82" i="40"/>
  <c r="T82" i="40"/>
  <c r="V81" i="40"/>
  <c r="X81" i="40" s="1"/>
  <c r="U81" i="40"/>
  <c r="T81" i="40"/>
  <c r="V80" i="40"/>
  <c r="U80" i="40"/>
  <c r="T80" i="40"/>
  <c r="X80" i="40" s="1"/>
  <c r="V79" i="40"/>
  <c r="U79" i="40"/>
  <c r="T79" i="40"/>
  <c r="W79" i="40" s="1"/>
  <c r="V78" i="40"/>
  <c r="U78" i="40"/>
  <c r="T78" i="40"/>
  <c r="X77" i="40"/>
  <c r="W77" i="40"/>
  <c r="V77" i="40"/>
  <c r="U77" i="40"/>
  <c r="T77" i="40"/>
  <c r="W76" i="40"/>
  <c r="V76" i="40"/>
  <c r="U76" i="40"/>
  <c r="T76" i="40"/>
  <c r="X76" i="40" s="1"/>
  <c r="V75" i="40"/>
  <c r="U75" i="40"/>
  <c r="T75" i="40"/>
  <c r="X75" i="40" s="1"/>
  <c r="V74" i="40"/>
  <c r="U74" i="40"/>
  <c r="T74" i="40"/>
  <c r="X74" i="40" s="1"/>
  <c r="V73" i="40"/>
  <c r="U73" i="40"/>
  <c r="X73" i="40" s="1"/>
  <c r="T73" i="40"/>
  <c r="X72" i="40"/>
  <c r="W72" i="40"/>
  <c r="V72" i="40"/>
  <c r="U72" i="40"/>
  <c r="T72" i="40"/>
  <c r="V71" i="40"/>
  <c r="U71" i="40"/>
  <c r="T71" i="40"/>
  <c r="W71" i="40" s="1"/>
  <c r="V70" i="40"/>
  <c r="U70" i="40"/>
  <c r="T70" i="40"/>
  <c r="X70" i="40" s="1"/>
  <c r="V69" i="40"/>
  <c r="U69" i="40"/>
  <c r="T69" i="40"/>
  <c r="X68" i="40"/>
  <c r="V68" i="40"/>
  <c r="U68" i="40"/>
  <c r="W68" i="40" s="1"/>
  <c r="T68" i="40"/>
  <c r="V67" i="40"/>
  <c r="U67" i="40"/>
  <c r="T67" i="40"/>
  <c r="X67" i="40" s="1"/>
  <c r="V66" i="40"/>
  <c r="U66" i="40"/>
  <c r="T66" i="40"/>
  <c r="X66" i="40" s="1"/>
  <c r="V65" i="40"/>
  <c r="U65" i="40"/>
  <c r="T65" i="40"/>
  <c r="X65" i="40" s="1"/>
  <c r="V64" i="40"/>
  <c r="X64" i="40" s="1"/>
  <c r="U64" i="40"/>
  <c r="T64" i="40"/>
  <c r="X63" i="40"/>
  <c r="V63" i="40"/>
  <c r="U63" i="40"/>
  <c r="T63" i="40"/>
  <c r="W63" i="40" s="1"/>
  <c r="V62" i="40"/>
  <c r="U62" i="40"/>
  <c r="T62" i="40"/>
  <c r="W62" i="40" s="1"/>
  <c r="V61" i="40"/>
  <c r="U61" i="40"/>
  <c r="T61" i="40"/>
  <c r="X61" i="40" s="1"/>
  <c r="V60" i="40"/>
  <c r="U60" i="40"/>
  <c r="T60" i="40"/>
  <c r="V59" i="40"/>
  <c r="X59" i="40" s="1"/>
  <c r="U59" i="40"/>
  <c r="T59" i="40"/>
  <c r="V58" i="40"/>
  <c r="U58" i="40"/>
  <c r="T58" i="40"/>
  <c r="X58" i="40" s="1"/>
  <c r="V57" i="40"/>
  <c r="U57" i="40"/>
  <c r="T57" i="40"/>
  <c r="X57" i="40" s="1"/>
  <c r="V56" i="40"/>
  <c r="U56" i="40"/>
  <c r="T56" i="40"/>
  <c r="X55" i="40"/>
  <c r="W55" i="40"/>
  <c r="V55" i="40"/>
  <c r="U55" i="40"/>
  <c r="T55" i="40"/>
  <c r="W54" i="40"/>
  <c r="V54" i="40"/>
  <c r="U54" i="40"/>
  <c r="T54" i="40"/>
  <c r="X54" i="40" s="1"/>
  <c r="V53" i="40"/>
  <c r="U53" i="40"/>
  <c r="T53" i="40"/>
  <c r="X53" i="40" s="1"/>
  <c r="V52" i="40"/>
  <c r="U52" i="40"/>
  <c r="T52" i="40"/>
  <c r="W52" i="40" s="1"/>
  <c r="V51" i="40"/>
  <c r="U51" i="40"/>
  <c r="X51" i="40" s="1"/>
  <c r="T51" i="40"/>
  <c r="X50" i="40"/>
  <c r="W50" i="40"/>
  <c r="V50" i="40"/>
  <c r="U50" i="40"/>
  <c r="T50" i="40"/>
  <c r="V49" i="40"/>
  <c r="U49" i="40"/>
  <c r="T49" i="40"/>
  <c r="X49" i="40" s="1"/>
  <c r="V48" i="40"/>
  <c r="U48" i="40"/>
  <c r="T48" i="40"/>
  <c r="W48" i="40" s="1"/>
  <c r="V47" i="40"/>
  <c r="U47" i="40"/>
  <c r="T47" i="40"/>
  <c r="X46" i="40"/>
  <c r="V46" i="40"/>
  <c r="U46" i="40"/>
  <c r="W46" i="40" s="1"/>
  <c r="T46" i="40"/>
  <c r="V45" i="40"/>
  <c r="U45" i="40"/>
  <c r="T45" i="40"/>
  <c r="X45" i="40" s="1"/>
  <c r="V44" i="40"/>
  <c r="U44" i="40"/>
  <c r="T44" i="40"/>
  <c r="X44" i="40" s="1"/>
  <c r="V43" i="40"/>
  <c r="U43" i="40"/>
  <c r="T43" i="40"/>
  <c r="X43" i="40" s="1"/>
  <c r="V42" i="40"/>
  <c r="X42" i="40" s="1"/>
  <c r="U42" i="40"/>
  <c r="T42" i="40"/>
  <c r="X41" i="40"/>
  <c r="V41" i="40"/>
  <c r="W41" i="40" s="1"/>
  <c r="U41" i="40"/>
  <c r="T41" i="40"/>
  <c r="V40" i="40"/>
  <c r="U40" i="40"/>
  <c r="T40" i="40"/>
  <c r="X40" i="40" s="1"/>
  <c r="V39" i="40"/>
  <c r="U39" i="40"/>
  <c r="T39" i="40"/>
  <c r="W39" i="40" s="1"/>
  <c r="V38" i="40"/>
  <c r="U38" i="40"/>
  <c r="T38" i="40"/>
  <c r="V37" i="40"/>
  <c r="X37" i="40" s="1"/>
  <c r="U37" i="40"/>
  <c r="T37" i="40"/>
  <c r="V36" i="40"/>
  <c r="U36" i="40"/>
  <c r="T36" i="40"/>
  <c r="X36" i="40" s="1"/>
  <c r="V35" i="40"/>
  <c r="U35" i="40"/>
  <c r="T35" i="40"/>
  <c r="W35" i="40" s="1"/>
  <c r="V34" i="40"/>
  <c r="U34" i="40"/>
  <c r="T34" i="40"/>
  <c r="X33" i="40"/>
  <c r="W33" i="40"/>
  <c r="V33" i="40"/>
  <c r="U33" i="40"/>
  <c r="T33" i="40"/>
  <c r="W32" i="40"/>
  <c r="V32" i="40"/>
  <c r="U32" i="40"/>
  <c r="T32" i="40"/>
  <c r="X32" i="40" s="1"/>
  <c r="V31" i="40"/>
  <c r="U31" i="40"/>
  <c r="T31" i="40"/>
  <c r="X31" i="40" s="1"/>
  <c r="V30" i="40"/>
  <c r="U30" i="40"/>
  <c r="T30" i="40"/>
  <c r="W30" i="40" s="1"/>
  <c r="X29" i="40"/>
  <c r="W29" i="40"/>
  <c r="V29" i="40"/>
  <c r="U29" i="40"/>
  <c r="T29" i="40"/>
  <c r="X28" i="40"/>
  <c r="W28" i="40"/>
  <c r="V28" i="40"/>
  <c r="U28" i="40"/>
  <c r="T28" i="40"/>
  <c r="V27" i="40"/>
  <c r="U27" i="40"/>
  <c r="T27" i="40"/>
  <c r="X27" i="40" s="1"/>
  <c r="V26" i="40"/>
  <c r="U26" i="40"/>
  <c r="T26" i="40"/>
  <c r="X26" i="40" s="1"/>
  <c r="V25" i="40"/>
  <c r="U25" i="40"/>
  <c r="T25" i="40"/>
  <c r="X24" i="40"/>
  <c r="V24" i="40"/>
  <c r="U24" i="40"/>
  <c r="W24" i="40" s="1"/>
  <c r="T24" i="40"/>
  <c r="V23" i="40"/>
  <c r="U23" i="40"/>
  <c r="T23" i="40"/>
  <c r="X23" i="40" s="1"/>
  <c r="V22" i="40"/>
  <c r="U22" i="40"/>
  <c r="T22" i="40"/>
  <c r="X22" i="40" s="1"/>
  <c r="V21" i="40"/>
  <c r="U21" i="40"/>
  <c r="T21" i="40"/>
  <c r="W21" i="40" s="1"/>
  <c r="V20" i="40"/>
  <c r="X20" i="40" s="1"/>
  <c r="U20" i="40"/>
  <c r="T20" i="40"/>
  <c r="X19" i="40"/>
  <c r="V19" i="40"/>
  <c r="U19" i="40"/>
  <c r="T19" i="40"/>
  <c r="W19" i="40" s="1"/>
  <c r="V18" i="40"/>
  <c r="U18" i="40"/>
  <c r="T18" i="40"/>
  <c r="W18" i="40" s="1"/>
  <c r="V17" i="40"/>
  <c r="U17" i="40"/>
  <c r="T17" i="40"/>
  <c r="X17" i="40" s="1"/>
  <c r="V16" i="40"/>
  <c r="U16" i="40"/>
  <c r="T16" i="40"/>
  <c r="V15" i="40"/>
  <c r="U15" i="40"/>
  <c r="T15" i="40"/>
  <c r="V14" i="40"/>
  <c r="U14" i="40"/>
  <c r="T14" i="40"/>
  <c r="X14" i="40" s="1"/>
  <c r="V13" i="40"/>
  <c r="U13" i="40"/>
  <c r="T13" i="40"/>
  <c r="W13" i="40" s="1"/>
  <c r="V12" i="40"/>
  <c r="U12" i="40"/>
  <c r="T12" i="40"/>
  <c r="V11" i="40"/>
  <c r="U11" i="40"/>
  <c r="T11" i="40"/>
  <c r="X11" i="40" s="1"/>
  <c r="W10" i="40"/>
  <c r="V10" i="40"/>
  <c r="U10" i="40"/>
  <c r="T10" i="40"/>
  <c r="X10" i="40" s="1"/>
  <c r="V9" i="40"/>
  <c r="U9" i="40"/>
  <c r="T9" i="40"/>
  <c r="X9" i="40" s="1"/>
  <c r="V8" i="40"/>
  <c r="U8" i="40"/>
  <c r="T8" i="40"/>
  <c r="V7" i="40"/>
  <c r="U7" i="40"/>
  <c r="T7" i="40"/>
  <c r="X38" i="40" l="1"/>
  <c r="W38" i="40"/>
  <c r="W64" i="40"/>
  <c r="X78" i="40"/>
  <c r="W78" i="40"/>
  <c r="X15" i="40"/>
  <c r="W15" i="40"/>
  <c r="X34" i="40"/>
  <c r="W34" i="40"/>
  <c r="X60" i="40"/>
  <c r="W60" i="40"/>
  <c r="W16" i="40"/>
  <c r="X16" i="40"/>
  <c r="W117" i="40"/>
  <c r="W130" i="40"/>
  <c r="W73" i="40"/>
  <c r="W95" i="40"/>
  <c r="X7" i="40"/>
  <c r="U155" i="40"/>
  <c r="X108" i="40"/>
  <c r="W51" i="40"/>
  <c r="W20" i="40"/>
  <c r="X135" i="40"/>
  <c r="W135" i="40"/>
  <c r="X148" i="40"/>
  <c r="W148" i="40"/>
  <c r="W144" i="40"/>
  <c r="X144" i="40"/>
  <c r="W113" i="40"/>
  <c r="X113" i="40"/>
  <c r="X126" i="40"/>
  <c r="W126" i="40"/>
  <c r="X25" i="40"/>
  <c r="W25" i="40"/>
  <c r="X56" i="40"/>
  <c r="W56" i="40"/>
  <c r="X82" i="40"/>
  <c r="W82" i="40"/>
  <c r="V155" i="40"/>
  <c r="W7" i="40"/>
  <c r="X8" i="40"/>
  <c r="W8" i="40"/>
  <c r="T155" i="40"/>
  <c r="U157" i="40" s="1"/>
  <c r="X122" i="40"/>
  <c r="W122" i="40"/>
  <c r="X91" i="40"/>
  <c r="W91" i="40"/>
  <c r="X104" i="40"/>
  <c r="W104" i="40"/>
  <c r="X47" i="40"/>
  <c r="W47" i="40"/>
  <c r="W42" i="40"/>
  <c r="W100" i="40"/>
  <c r="X100" i="40"/>
  <c r="W11" i="40"/>
  <c r="X69" i="40"/>
  <c r="W69" i="40"/>
  <c r="X12" i="40"/>
  <c r="W12" i="40"/>
  <c r="W43" i="40"/>
  <c r="W65" i="40"/>
  <c r="W109" i="40"/>
  <c r="W153" i="40"/>
  <c r="X21" i="40"/>
  <c r="X87" i="40"/>
  <c r="W96" i="40"/>
  <c r="X30" i="40"/>
  <c r="X52" i="40"/>
  <c r="W61" i="40"/>
  <c r="X118" i="40"/>
  <c r="W127" i="40"/>
  <c r="W26" i="40"/>
  <c r="X83" i="40"/>
  <c r="X105" i="40"/>
  <c r="W114" i="40"/>
  <c r="W136" i="40"/>
  <c r="X48" i="40"/>
  <c r="W57" i="40"/>
  <c r="W123" i="40"/>
  <c r="X13" i="40"/>
  <c r="X35" i="40"/>
  <c r="W44" i="40"/>
  <c r="W66" i="40"/>
  <c r="X79" i="40"/>
  <c r="W88" i="40"/>
  <c r="X101" i="40"/>
  <c r="W110" i="40"/>
  <c r="W132" i="40"/>
  <c r="W9" i="40"/>
  <c r="W75" i="40"/>
  <c r="W119" i="40"/>
  <c r="W40" i="40"/>
  <c r="X18" i="40"/>
  <c r="W27" i="40"/>
  <c r="W49" i="40"/>
  <c r="X84" i="40"/>
  <c r="W93" i="40"/>
  <c r="X128" i="40"/>
  <c r="W14" i="40"/>
  <c r="W36" i="40"/>
  <c r="W58" i="40"/>
  <c r="X71" i="40"/>
  <c r="W80" i="40"/>
  <c r="W102" i="40"/>
  <c r="X115" i="40"/>
  <c r="W124" i="40"/>
  <c r="X137" i="40"/>
  <c r="W146" i="40"/>
  <c r="W131" i="40"/>
  <c r="W74" i="40"/>
  <c r="W140" i="40"/>
  <c r="W17" i="40"/>
  <c r="X39" i="40"/>
  <c r="W70" i="40"/>
  <c r="W92" i="40"/>
  <c r="W22" i="40"/>
  <c r="W31" i="40"/>
  <c r="W53" i="40"/>
  <c r="W97" i="40"/>
  <c r="W141" i="40"/>
  <c r="W106" i="40"/>
  <c r="W150" i="40"/>
  <c r="X62" i="40"/>
  <c r="W23" i="40"/>
  <c r="W45" i="40"/>
  <c r="W67" i="40"/>
  <c r="W89" i="40"/>
  <c r="W111" i="40"/>
  <c r="W133" i="40"/>
  <c r="W149" i="40"/>
  <c r="W145" i="40"/>
  <c r="W37" i="40"/>
  <c r="W59" i="40"/>
  <c r="W81" i="40"/>
  <c r="W103" i="40"/>
  <c r="W125" i="40"/>
  <c r="W147" i="40"/>
  <c r="W155" i="40" l="1"/>
  <c r="X155" i="40"/>
  <c r="B9" i="1" l="1"/>
  <c r="B10" i="1" s="1"/>
  <c r="L155" i="10" l="1"/>
  <c r="D155" i="10" l="1"/>
  <c r="K155" i="10" l="1"/>
  <c r="J155" i="10"/>
  <c r="E155" i="10"/>
  <c r="F155" i="10"/>
  <c r="G155" i="10"/>
  <c r="H155" i="10"/>
  <c r="I155" i="10"/>
  <c r="D17" i="22" l="1"/>
  <c r="D11" i="22"/>
  <c r="A2" i="22" l="1"/>
  <c r="C13" i="22" l="1"/>
  <c r="D13" i="22" l="1"/>
  <c r="E13" i="22" s="1"/>
  <c r="C4" i="1" l="1"/>
  <c r="B52" i="1" l="1"/>
  <c r="B49" i="1"/>
  <c r="D40" i="1"/>
  <c r="D42" i="1" s="1"/>
  <c r="D44" i="1" s="1"/>
  <c r="C40" i="1"/>
  <c r="C42" i="1" s="1"/>
  <c r="B40" i="1"/>
  <c r="D7" i="22"/>
  <c r="B33" i="1"/>
  <c r="C2" i="22"/>
  <c r="B34" i="1" l="1"/>
  <c r="D21" i="22" s="1"/>
  <c r="C20" i="22"/>
  <c r="C21" i="22"/>
  <c r="C26" i="22"/>
  <c r="C8" i="22"/>
  <c r="C27" i="22"/>
  <c r="C7" i="22"/>
  <c r="E7" i="22" s="1"/>
  <c r="C5" i="22"/>
  <c r="C4" i="22"/>
  <c r="C44" i="1"/>
  <c r="B42" i="1"/>
  <c r="B44" i="1" s="1"/>
  <c r="E40" i="1"/>
  <c r="E21" i="22" l="1"/>
  <c r="E4" i="22"/>
  <c r="C6" i="22"/>
  <c r="C9" i="22" s="1"/>
  <c r="E44" i="1"/>
  <c r="B50" i="1" s="1"/>
  <c r="E42" i="1"/>
  <c r="D27" i="22"/>
  <c r="E27" i="22" s="1"/>
  <c r="C15" i="22" l="1"/>
  <c r="C18" i="22" l="1"/>
  <c r="C23" i="22" l="1"/>
  <c r="C29" i="22" s="1"/>
  <c r="C74" i="10"/>
  <c r="C155" i="10" s="1"/>
  <c r="C136" i="10"/>
  <c r="D26" i="22" l="1"/>
  <c r="B23" i="1"/>
  <c r="E26" i="22" l="1"/>
  <c r="B51" i="1"/>
  <c r="B15" i="1"/>
  <c r="D5" i="22" l="1"/>
  <c r="D6" i="22" s="1"/>
  <c r="E6" i="22" l="1"/>
  <c r="B16" i="1"/>
  <c r="D8" i="22" s="1"/>
  <c r="D9" i="22" l="1"/>
  <c r="B18" i="1"/>
  <c r="D15" i="22" l="1"/>
  <c r="E9" i="22"/>
  <c r="B24" i="1"/>
  <c r="D18" i="22" l="1"/>
  <c r="E15" i="22"/>
  <c r="B28" i="1"/>
  <c r="B36" i="1" s="1"/>
  <c r="D23" i="22" l="1"/>
  <c r="D29" i="22" s="1"/>
  <c r="E18" i="22"/>
  <c r="B47" i="1"/>
  <c r="B53" i="1" s="1"/>
  <c r="E23" i="22" l="1"/>
  <c r="E29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F6" authorId="0" shapeId="0" xr:uid="{5FF4062B-58F6-40D1-BD0B-BED3B75CA02C}">
      <text>
        <r>
          <rPr>
            <sz val="9"/>
            <color indexed="81"/>
            <rFont val="Tahoma"/>
            <family val="2"/>
          </rPr>
          <t>Remove Fall SAFE count of APA and Dakota Reach students before calculating the ratio.
SDCL 13-13-10.1 (3)</t>
        </r>
      </text>
    </comment>
    <comment ref="F76" authorId="0" shapeId="0" xr:uid="{1A8C0C82-CCDA-46E3-8D0F-3002A8C79211}">
      <text>
        <r>
          <rPr>
            <sz val="9"/>
            <color indexed="81"/>
            <rFont val="Tahoma"/>
            <family val="2"/>
          </rPr>
          <t>Remove Fall SAFE count of Our Home students before calculating the ratio.
SDCL 13-13-10.1 (3)</t>
        </r>
      </text>
    </comment>
  </commentList>
</comments>
</file>

<file path=xl/sharedStrings.xml><?xml version="1.0" encoding="utf-8"?>
<sst xmlns="http://schemas.openxmlformats.org/spreadsheetml/2006/main" count="950" uniqueCount="487">
  <si>
    <t>LEP Adjustment</t>
  </si>
  <si>
    <t>Weighted LEP Student Count</t>
  </si>
  <si>
    <t>Formula Number of Certified Instructional Staff FTE:</t>
  </si>
  <si>
    <t>Formula Number of Certified Instructional Staff FTE</t>
  </si>
  <si>
    <t>Formula Certified Instructional Staff Salary/Benefit Need:</t>
  </si>
  <si>
    <t>Target Certified Instructional Staff Salaries + Benefits</t>
  </si>
  <si>
    <t>Need based on Certified Instructional Staff Salaries/Benefits</t>
  </si>
  <si>
    <t>MINUS</t>
  </si>
  <si>
    <t xml:space="preserve">Target Certified Instructional Staff Salary </t>
  </si>
  <si>
    <t>Utility TIF</t>
  </si>
  <si>
    <t>ABERDEEN</t>
  </si>
  <si>
    <t>ANDES CENTRAL</t>
  </si>
  <si>
    <t>ARLINGTON</t>
  </si>
  <si>
    <t>ARMOUR</t>
  </si>
  <si>
    <t>AVON</t>
  </si>
  <si>
    <t>BALTIC</t>
  </si>
  <si>
    <t>BELLE FOURCHE</t>
  </si>
  <si>
    <t>BENNETT COUNTY</t>
  </si>
  <si>
    <t>BERESFORD</t>
  </si>
  <si>
    <t>BISON</t>
  </si>
  <si>
    <t>BON HOMME</t>
  </si>
  <si>
    <t>BOWDLE</t>
  </si>
  <si>
    <t>BRANDON VALLEY</t>
  </si>
  <si>
    <t>BRIDGEWATER - EMERY</t>
  </si>
  <si>
    <t>BRITTON - HECLA</t>
  </si>
  <si>
    <t>BROOKINGS</t>
  </si>
  <si>
    <t>BURKE</t>
  </si>
  <si>
    <t>CANISTOTA</t>
  </si>
  <si>
    <t>CANTON</t>
  </si>
  <si>
    <t>CASTLEWOOD</t>
  </si>
  <si>
    <t>CENTERVILLE</t>
  </si>
  <si>
    <t>CHAMBERLAIN</t>
  </si>
  <si>
    <t>CHESTER AREA</t>
  </si>
  <si>
    <t>CLARK</t>
  </si>
  <si>
    <t>CUSTER</t>
  </si>
  <si>
    <t>DAKOTA VALLEY</t>
  </si>
  <si>
    <t>DE SMET</t>
  </si>
  <si>
    <t>DELL RAPIDS</t>
  </si>
  <si>
    <t>DEUBROOK AREA</t>
  </si>
  <si>
    <t>DEUEL</t>
  </si>
  <si>
    <t>DOLAND</t>
  </si>
  <si>
    <t>DOUGLAS</t>
  </si>
  <si>
    <t>DUPREE</t>
  </si>
  <si>
    <t>EAGLE BUTTE</t>
  </si>
  <si>
    <t>EDGEMONT</t>
  </si>
  <si>
    <t>EDMUNDS CENTRAL</t>
  </si>
  <si>
    <t>ELK MOUNTAIN</t>
  </si>
  <si>
    <t>ELK POINT-JEFFERSON</t>
  </si>
  <si>
    <t>ELKTON</t>
  </si>
  <si>
    <t>ESTELLINE</t>
  </si>
  <si>
    <t>ETHAN</t>
  </si>
  <si>
    <t>EUREKA</t>
  </si>
  <si>
    <t>FAITH</t>
  </si>
  <si>
    <t>FLANDREAU</t>
  </si>
  <si>
    <t>FLORENCE</t>
  </si>
  <si>
    <t>FREDERICK AREA</t>
  </si>
  <si>
    <t>FREEMAN</t>
  </si>
  <si>
    <t>GARRETSON</t>
  </si>
  <si>
    <t>GAYVILLE-VOLIN</t>
  </si>
  <si>
    <t>GETTYSBURG</t>
  </si>
  <si>
    <t>GREGORY</t>
  </si>
  <si>
    <t>GROTON AREA</t>
  </si>
  <si>
    <t>HAAKON</t>
  </si>
  <si>
    <t>HAMLIN</t>
  </si>
  <si>
    <t>HANSON</t>
  </si>
  <si>
    <t>HARDING COUNTY</t>
  </si>
  <si>
    <t>HARRISBURG</t>
  </si>
  <si>
    <t>HENRY</t>
  </si>
  <si>
    <t>HERREID</t>
  </si>
  <si>
    <t>HILL CITY</t>
  </si>
  <si>
    <t>HOT SPRINGS</t>
  </si>
  <si>
    <t>HOVEN</t>
  </si>
  <si>
    <t>HOWARD</t>
  </si>
  <si>
    <t>HURON</t>
  </si>
  <si>
    <t>IPSWICH PUBLIC</t>
  </si>
  <si>
    <t>IROQUOIS</t>
  </si>
  <si>
    <t>JONES COUNTY</t>
  </si>
  <si>
    <t>KADOKA AREA</t>
  </si>
  <si>
    <t>KIMBALL</t>
  </si>
  <si>
    <t>LAKE PRESTON</t>
  </si>
  <si>
    <t>LANGFORD AREA</t>
  </si>
  <si>
    <t>LEAD-DEADWOOD</t>
  </si>
  <si>
    <t>LEMMON</t>
  </si>
  <si>
    <t>LENNOX</t>
  </si>
  <si>
    <t>LEOLA</t>
  </si>
  <si>
    <t>LYMAN</t>
  </si>
  <si>
    <t>MADISON CENTRAL</t>
  </si>
  <si>
    <t>MARION</t>
  </si>
  <si>
    <t>MC INTOSH</t>
  </si>
  <si>
    <t>MC LAUGHLIN</t>
  </si>
  <si>
    <t>MEADE</t>
  </si>
  <si>
    <t>MENNO</t>
  </si>
  <si>
    <t>MILBANK</t>
  </si>
  <si>
    <t>MITCHELL</t>
  </si>
  <si>
    <t>MONTROSE</t>
  </si>
  <si>
    <t>MOUNT VERNON</t>
  </si>
  <si>
    <t>NEW UNDERWOOD</t>
  </si>
  <si>
    <t>NEWELL</t>
  </si>
  <si>
    <t>NORTHWESTERN AREA</t>
  </si>
  <si>
    <t>OELRICHS</t>
  </si>
  <si>
    <t>PARKER</t>
  </si>
  <si>
    <t>PARKSTON</t>
  </si>
  <si>
    <t>PIERRE</t>
  </si>
  <si>
    <t>PLANKINTON</t>
  </si>
  <si>
    <t>RAPID CITY</t>
  </si>
  <si>
    <t>REDFIELD</t>
  </si>
  <si>
    <t>ROSHOLT</t>
  </si>
  <si>
    <t>SANBORN CENTRAL</t>
  </si>
  <si>
    <t>SCOTLAND</t>
  </si>
  <si>
    <t>SELBY AREA</t>
  </si>
  <si>
    <t>SIOUX FALLS</t>
  </si>
  <si>
    <t>SIOUX VALLEY</t>
  </si>
  <si>
    <t>SMEE</t>
  </si>
  <si>
    <t>SOUTH CENTRAL</t>
  </si>
  <si>
    <t>SPEARFISH</t>
  </si>
  <si>
    <t>STANLEY COUNTY</t>
  </si>
  <si>
    <t>SUMMIT</t>
  </si>
  <si>
    <t>TEA AREA</t>
  </si>
  <si>
    <t>TIMBER LAKE</t>
  </si>
  <si>
    <t>TODD COUNTY</t>
  </si>
  <si>
    <t>TRI-VALLEY</t>
  </si>
  <si>
    <t>VERMILLION</t>
  </si>
  <si>
    <t>WAGNER COMMUNITY</t>
  </si>
  <si>
    <t>WALL</t>
  </si>
  <si>
    <t>WARNER</t>
  </si>
  <si>
    <t>WATERTOWN</t>
  </si>
  <si>
    <t>WAUBAY</t>
  </si>
  <si>
    <t>WAVERLY</t>
  </si>
  <si>
    <t>WEBSTER AREA</t>
  </si>
  <si>
    <t>WESSINGTON SPRINGS</t>
  </si>
  <si>
    <t>WEST CENTRAL</t>
  </si>
  <si>
    <t>WHITE LAKE</t>
  </si>
  <si>
    <t>WHITE RIVER</t>
  </si>
  <si>
    <t>WILLOW LAKE</t>
  </si>
  <si>
    <t>WILMOT</t>
  </si>
  <si>
    <t>WINNER</t>
  </si>
  <si>
    <t>WOONSOCKET</t>
  </si>
  <si>
    <t>YANKTON</t>
  </si>
  <si>
    <t xml:space="preserve"> </t>
  </si>
  <si>
    <t>Dist#</t>
  </si>
  <si>
    <t>District 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</si>
  <si>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</si>
  <si>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</si>
  <si>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</si>
  <si>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</si>
  <si>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</si>
  <si>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</si>
  <si>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</si>
  <si>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</si>
  <si>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</si>
  <si>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</si>
  <si>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</si>
  <si>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</si>
  <si>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</si>
  <si>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</si>
  <si>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</si>
  <si>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</si>
  <si>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</si>
  <si>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</si>
  <si>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</si>
  <si>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</si>
  <si>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</si>
  <si>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</si>
  <si>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</si>
  <si>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</si>
  <si>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</si>
  <si>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</si>
  <si>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</si>
  <si>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</si>
  <si>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</si>
  <si>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</si>
  <si>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</si>
  <si>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</si>
  <si>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</si>
  <si>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</si>
  <si>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</si>
  <si>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</si>
  <si>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</si>
  <si>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</si>
  <si>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</si>
  <si>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</si>
  <si>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</si>
  <si>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</si>
  <si>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</si>
  <si>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</si>
  <si>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</si>
  <si>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</si>
  <si>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</si>
  <si>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</si>
  <si>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</si>
  <si>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</si>
  <si>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</si>
  <si>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</si>
  <si>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</si>
  <si>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</si>
  <si>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</si>
  <si>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</si>
  <si>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</si>
  <si>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</si>
  <si>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</si>
  <si>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</si>
  <si>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</si>
  <si>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</si>
  <si>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</si>
  <si>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</si>
  <si>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</si>
  <si>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</si>
  <si>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</si>
  <si>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</si>
  <si>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</si>
  <si>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</si>
  <si>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</si>
  <si>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</si>
  <si>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</si>
  <si>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</si>
  <si>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</si>
  <si>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</si>
  <si>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</si>
  <si>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</si>
  <si>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</si>
  <si>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</si>
  <si>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</si>
  <si>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</si>
  <si>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</si>
  <si>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</si>
  <si>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</si>
  <si>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</si>
  <si>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</si>
  <si>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</si>
  <si>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</si>
  <si>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</si>
  <si>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</si>
  <si>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</si>
  <si>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</si>
  <si>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</si>
  <si>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</si>
  <si>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</si>
  <si>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</si>
  <si>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</si>
  <si>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</si>
  <si>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</si>
  <si>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</si>
  <si>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</si>
  <si>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</si>
  <si>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</si>
  <si>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</si>
  <si>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</si>
  <si>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</si>
  <si>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</si>
  <si>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</si>
  <si>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</si>
  <si>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</si>
  <si>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</si>
  <si>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</si>
  <si>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</si>
  <si>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</si>
  <si>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</si>
  <si>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</si>
  <si>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</si>
  <si>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</si>
  <si>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</si>
  <si>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</si>
  <si>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</si>
  <si>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</si>
  <si>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</si>
  <si>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</si>
  <si>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</si>
  <si>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</si>
  <si>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</si>
  <si>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</si>
  <si>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</si>
  <si>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</si>
  <si>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</si>
  <si>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</si>
  <si>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</si>
  <si>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</si>
  <si>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</si>
  <si>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</si>
  <si>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</si>
  <si>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</si>
  <si>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</si>
  <si>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</si>
  <si>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</si>
  <si>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</si>
  <si>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</si>
  <si>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</si>
  <si>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</si>
  <si>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</si>
  <si>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</si>
  <si>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</si>
  <si>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Grant-Deuel 25-3</t>
  </si>
  <si>
    <t>Wagner 11-4</t>
  </si>
  <si>
    <t>Selby 62-5</t>
  </si>
  <si>
    <t>Oglala Lakota County 65-1</t>
  </si>
  <si>
    <t>Faulkton Area 24-4</t>
  </si>
  <si>
    <t>Deubrook 05-6</t>
  </si>
  <si>
    <t>Chester 39-1</t>
  </si>
  <si>
    <t xml:space="preserve"> 2018 State Aid Fall Enrollment</t>
  </si>
  <si>
    <t>AG</t>
  </si>
  <si>
    <t>Other</t>
  </si>
  <si>
    <t>STATEWIDE TOTAL</t>
  </si>
  <si>
    <t>Miller  29-4</t>
  </si>
  <si>
    <t>Lead-Deadwood</t>
  </si>
  <si>
    <t xml:space="preserve"> 2017 State Aid Fall Enrollment</t>
  </si>
  <si>
    <t xml:space="preserve"> 2016 State Aid Fall Enrollment</t>
  </si>
  <si>
    <t>2015 State Aid Fall Enrollment</t>
  </si>
  <si>
    <t>HISTORY OF STATE AID FALL ENROLLMENTS</t>
  </si>
  <si>
    <t>Total</t>
  </si>
  <si>
    <t>Total Formula Number of Certified Staff FTE</t>
  </si>
  <si>
    <t>TOTAL GENERAL STATE AID NEED</t>
  </si>
  <si>
    <t>Owner-Occupied</t>
  </si>
  <si>
    <t>*Double check valuations with County Auditor(s)</t>
  </si>
  <si>
    <t>2019 State Aid Fall Enrollment</t>
  </si>
  <si>
    <t>Taxable</t>
  </si>
  <si>
    <t>Local Effort</t>
  </si>
  <si>
    <t>Ag Disc</t>
  </si>
  <si>
    <t>OO Disc</t>
  </si>
  <si>
    <t>M Disc</t>
  </si>
  <si>
    <t>MOO Disc</t>
  </si>
  <si>
    <t>Oth Disc</t>
  </si>
  <si>
    <t>Ag TIF</t>
  </si>
  <si>
    <t>OO TIF</t>
  </si>
  <si>
    <t>M TIF</t>
  </si>
  <si>
    <t>Oth TIF</t>
  </si>
  <si>
    <t>Total Ag</t>
  </si>
  <si>
    <t>Total OO</t>
  </si>
  <si>
    <t>Total Other</t>
  </si>
  <si>
    <t>2nd Half Local Effort</t>
  </si>
  <si>
    <t>Total Estimated Local Effort - Property Taxes</t>
  </si>
  <si>
    <t>Rapid City 51-4</t>
  </si>
  <si>
    <t>Description</t>
  </si>
  <si>
    <t>Difference</t>
  </si>
  <si>
    <t>State Aid Fall Enrollment Count</t>
  </si>
  <si>
    <t>Target Teacher Ratio</t>
  </si>
  <si>
    <t>ELL Student Count</t>
  </si>
  <si>
    <t>ELL Adjustment Number of Teachers</t>
  </si>
  <si>
    <t>Target Teacher Salary</t>
  </si>
  <si>
    <t>Increased by Benefit Rate</t>
  </si>
  <si>
    <t>Overhead Rate</t>
  </si>
  <si>
    <t>Overhead Need</t>
  </si>
  <si>
    <t>Less: Local Effort</t>
  </si>
  <si>
    <t>Local Effort - Property Taxes (-)</t>
  </si>
  <si>
    <t>references in SDCL 13-13-10.1</t>
  </si>
  <si>
    <t>District No.</t>
  </si>
  <si>
    <t>District</t>
  </si>
  <si>
    <t>Need A</t>
  </si>
  <si>
    <t>LEP Adj
Need B</t>
  </si>
  <si>
    <t>Sum Need 
A &amp; B</t>
  </si>
  <si>
    <t>Target Teacher Compensation
Sal &amp; Ben</t>
  </si>
  <si>
    <t>Teacher Compensation Need</t>
  </si>
  <si>
    <t>Overhead</t>
  </si>
  <si>
    <t>Calculated Formula Need</t>
  </si>
  <si>
    <t>Alternative Need</t>
  </si>
  <si>
    <t>State Aid Need</t>
  </si>
  <si>
    <t>=State Aid Fall Enrollment/Target Teacher Ratio</t>
  </si>
  <si>
    <t>Formula Number of Certified Teachers</t>
  </si>
  <si>
    <t>Total Formula Number of Teachers</t>
  </si>
  <si>
    <t>Calculate Total Teacher Compensation</t>
  </si>
  <si>
    <t>=Total Teacher Compensation * Overhead Rate</t>
  </si>
  <si>
    <t>LEP Formula Teachers</t>
  </si>
  <si>
    <t>TOTAL DISTRICT NEED</t>
  </si>
  <si>
    <t>TOTAL STATE AID</t>
  </si>
  <si>
    <t>= Target Teacher Salary * Benefit Rate of 29%</t>
  </si>
  <si>
    <t>**Levies do not include additional opt-out levy, if applicable</t>
  </si>
  <si>
    <t>Target Teacher Compensation</t>
  </si>
  <si>
    <t xml:space="preserve"> 2020 State Aid Fall Enrollment</t>
  </si>
  <si>
    <t>District Number</t>
  </si>
  <si>
    <t>Mobile Home Owner Occupied</t>
  </si>
  <si>
    <t xml:space="preserve">Other </t>
  </si>
  <si>
    <t xml:space="preserve">Utility </t>
  </si>
  <si>
    <t>FAULKTON AREA SCHOOLS</t>
  </si>
  <si>
    <t>=Base Formula # of Teachers + ELL Adjustment # of Teachers</t>
  </si>
  <si>
    <t>=Total Formula # of Teachers * Target Teacher Compensation</t>
  </si>
  <si>
    <t>Count of Students Residing in Residential Treatment Facility</t>
  </si>
  <si>
    <t>2021 State Aid Fall Enrollment</t>
  </si>
  <si>
    <t>CORSICA-STICKNEY</t>
  </si>
  <si>
    <t>TRIPP-DELMONT</t>
  </si>
  <si>
    <t>COLMAN-EGAN</t>
  </si>
  <si>
    <t>ALCESTER-HUDSON</t>
  </si>
  <si>
    <t>OGLALA LAKOTA</t>
  </si>
  <si>
    <t>TOTAL LOCAL EFFORT Property Taxes
1st &amp; 2nd Half</t>
  </si>
  <si>
    <t>GENERAL STATE AID BUDGET COMPARISON</t>
  </si>
  <si>
    <t>Local Effort - Other Revenue</t>
  </si>
  <si>
    <r>
      <t xml:space="preserve">TOTAL GENERAL STATE AID NEED </t>
    </r>
    <r>
      <rPr>
        <b/>
        <sz val="12"/>
        <color theme="1"/>
        <rFont val="Calibri"/>
        <family val="2"/>
        <scheme val="minor"/>
      </rPr>
      <t>(from row 33)</t>
    </r>
  </si>
  <si>
    <t xml:space="preserve"> 2022 State Aid Fall Enrollment</t>
  </si>
  <si>
    <t>Agricultural
 (Ag)</t>
  </si>
  <si>
    <t>Owner 
Occupied 
(OO)</t>
  </si>
  <si>
    <t>Mobile 
Home</t>
  </si>
  <si>
    <t>MOO 
TIF</t>
  </si>
  <si>
    <r>
      <t xml:space="preserve">Number of </t>
    </r>
    <r>
      <rPr>
        <b/>
        <u/>
        <sz val="10"/>
        <color theme="1"/>
        <rFont val="Calibri"/>
        <family val="2"/>
        <scheme val="minor"/>
      </rPr>
      <t>Eligible</t>
    </r>
    <r>
      <rPr>
        <sz val="10"/>
        <color theme="1"/>
        <rFont val="Calibri"/>
        <family val="2"/>
        <scheme val="minor"/>
      </rPr>
      <t xml:space="preserve"> Alternative Instruction Students in HS Activities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</si>
  <si>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Alternative Instruction Activity Weight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</si>
  <si>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Target Student/Certified Instructional Staff FTE Ratio</t>
    </r>
  </si>
  <si>
    <r>
      <t xml:space="preserve">Number of </t>
    </r>
    <r>
      <rPr>
        <b/>
        <u/>
        <sz val="10"/>
        <color theme="1"/>
        <rFont val="Calibri"/>
        <family val="2"/>
        <scheme val="minor"/>
      </rPr>
      <t>Eligible</t>
    </r>
    <r>
      <rPr>
        <sz val="10"/>
        <color theme="1"/>
        <rFont val="Calibri"/>
        <family val="2"/>
        <scheme val="minor"/>
      </rPr>
      <t xml:space="preserve"> LEP Students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</si>
  <si>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LEP Weight</t>
    </r>
  </si>
  <si>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Target Certified Instructional Staff Benefits %</t>
    </r>
  </si>
  <si>
    <t>(4)</t>
  </si>
  <si>
    <t>(3)</t>
  </si>
  <si>
    <t>10a</t>
  </si>
  <si>
    <t>10b</t>
  </si>
  <si>
    <t>10c</t>
  </si>
  <si>
    <t>10d</t>
  </si>
  <si>
    <t>10e</t>
  </si>
  <si>
    <t>10f</t>
  </si>
  <si>
    <t>11 &amp; 12</t>
  </si>
  <si>
    <t>Utility 
Taxes 
1140</t>
  </si>
  <si>
    <t>Local Revenue 
in Lieu of Taxes 
1210</t>
  </si>
  <si>
    <t>County Apportionment 
2110</t>
  </si>
  <si>
    <t>County Revenue 
in Lieu of Taxes 
2200</t>
  </si>
  <si>
    <t>Renewable Facility Taxes 
(Wind)
3113</t>
  </si>
  <si>
    <t>Bank Franchise Taxes 
3114</t>
  </si>
  <si>
    <t>Oldham-Ramona-Rutland 39-6</t>
  </si>
  <si>
    <t>OLDHAM-RAMONA-RUTLAND</t>
  </si>
  <si>
    <t>Local Effort - Other Revenues</t>
  </si>
  <si>
    <t>Other Revenue Local Effort</t>
  </si>
  <si>
    <t>=Total Need minus Local Effort: Property Taxes &amp; Other Revenue</t>
  </si>
  <si>
    <t>2023 State Aid Fall Enrollment</t>
  </si>
  <si>
    <t>Colome 59-3</t>
  </si>
  <si>
    <t>FY2026</t>
  </si>
  <si>
    <t>2024 State Aid Fall Enrollment</t>
  </si>
  <si>
    <t>Other Revenue Local Effort 
 Exclusion</t>
  </si>
  <si>
    <r>
      <t xml:space="preserve">Adjustment to Need 
</t>
    </r>
    <r>
      <rPr>
        <sz val="9"/>
        <rFont val="Calibri"/>
        <family val="2"/>
      </rPr>
      <t>(ARSD 24:17:03:07)</t>
    </r>
  </si>
  <si>
    <t>Sch Name</t>
  </si>
  <si>
    <t>Ag Val</t>
  </si>
  <si>
    <t>OO Val</t>
  </si>
  <si>
    <t>M Val</t>
  </si>
  <si>
    <t>MOO Val</t>
  </si>
  <si>
    <t>Oth Val</t>
  </si>
  <si>
    <t>Utility Val</t>
  </si>
  <si>
    <t>MOO TIF</t>
  </si>
  <si>
    <t>WOLSEY-WESSINGTON</t>
  </si>
  <si>
    <t>PLATTE-GEDDES</t>
  </si>
  <si>
    <t>IRENE-WAKONDA</t>
  </si>
  <si>
    <t>HIGHMORE-HARROLD</t>
  </si>
  <si>
    <t>MCCOOK CENTRAL</t>
  </si>
  <si>
    <t>SISSETON PUBLIC</t>
  </si>
  <si>
    <t>HITCHCOCK-TULARE</t>
  </si>
  <si>
    <t>AGAR-BLUNT-ONIDA</t>
  </si>
  <si>
    <t>COLOME</t>
  </si>
  <si>
    <t>VIBORG-HURLEY</t>
  </si>
  <si>
    <t>MOBRIDGE-POLLOCK</t>
  </si>
  <si>
    <t>Overhead Calculation</t>
  </si>
  <si>
    <t>Need based on Overhead Rate</t>
  </si>
  <si>
    <r>
      <t xml:space="preserve">Instructional Salary/Benefit Need </t>
    </r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Overhead Rate</t>
    </r>
  </si>
  <si>
    <t>Alternative Instruction Participation Adjustment</t>
  </si>
  <si>
    <t>Weighted Alternative Instruction Participation Student Count</t>
  </si>
  <si>
    <t>Wakpala 15-3</t>
  </si>
  <si>
    <t>State Aid Fall Enrollment Count (Fall 2026)</t>
  </si>
  <si>
    <t>2nd Half Local Effort Projection (1st Half Pay 2027)</t>
  </si>
  <si>
    <t>2025 Pay 2026 Valuation (as of 1/7/2026)</t>
  </si>
  <si>
    <t>Assumed Pay 2027 Valuation Growth %</t>
  </si>
  <si>
    <r>
      <rPr>
        <u/>
        <sz val="10"/>
        <color theme="1"/>
        <rFont val="Calibri"/>
        <family val="2"/>
        <scheme val="minor"/>
      </rPr>
      <t>Estimated</t>
    </r>
    <r>
      <rPr>
        <sz val="10"/>
        <color theme="1"/>
        <rFont val="Calibri"/>
        <family val="2"/>
        <scheme val="minor"/>
      </rPr>
      <t xml:space="preserve"> 2026 Pay 2027 Valuation*</t>
    </r>
  </si>
  <si>
    <t>Proposed 2026 Pay 2027 Levies**</t>
  </si>
  <si>
    <t>Estimated 2nd Half Local Effort - (1st Half Pay 2027)</t>
  </si>
  <si>
    <t>1st Half Local Effort - Property Taxes 2nd Half Pay 2026</t>
  </si>
  <si>
    <r>
      <rPr>
        <b/>
        <sz val="13"/>
        <color rgb="FFFF0000"/>
        <rFont val="Calibri"/>
        <family val="2"/>
        <scheme val="minor"/>
      </rPr>
      <t>Estimated</t>
    </r>
    <r>
      <rPr>
        <sz val="13"/>
        <color theme="1"/>
        <rFont val="Calibri"/>
        <family val="2"/>
        <scheme val="minor"/>
      </rPr>
      <t xml:space="preserve"> 2nd Half Local Effort - Property Taxes 1st Half Pay 2027</t>
    </r>
  </si>
  <si>
    <t>ESTIMATED FY2027 General State Aid</t>
  </si>
  <si>
    <t>FY2027 General State Aid Budget Calculator - Based on Proposed 0% Increase</t>
  </si>
  <si>
    <t>FINAL Pay 2026 Valuations, by School District</t>
  </si>
  <si>
    <t>as of 1/7/2026</t>
  </si>
  <si>
    <t>Total Valuation</t>
  </si>
  <si>
    <t>Sch DIst</t>
  </si>
  <si>
    <t>MILLER</t>
  </si>
  <si>
    <r>
      <t xml:space="preserve">FY2027 Other Revenue Local Effort </t>
    </r>
    <r>
      <rPr>
        <b/>
        <sz val="11"/>
        <rFont val="Calibri"/>
        <family val="2"/>
        <scheme val="minor"/>
      </rPr>
      <t>(based on FY25 Annual Financial Report)</t>
    </r>
  </si>
  <si>
    <t>as of 10/27/2025</t>
  </si>
  <si>
    <t>FY2025
Total Reported Other Revenues</t>
  </si>
  <si>
    <t>FY2027
Total Local Effort from Other Revenue</t>
  </si>
  <si>
    <t>as of 2/10/2026</t>
  </si>
  <si>
    <t>FY2027</t>
  </si>
  <si>
    <t>FY2026 General State Aid Need</t>
  </si>
  <si>
    <t>as of 1/21/2026</t>
  </si>
  <si>
    <t>(2)</t>
  </si>
  <si>
    <t>(20)</t>
  </si>
  <si>
    <t>updated 10/26/25</t>
  </si>
  <si>
    <t>Fall 2025 State Aid Fall Enrollment</t>
  </si>
  <si>
    <t>2024-2025 
English Learner
 Eligible Student Weighted Count</t>
  </si>
  <si>
    <t>2024-2025 Alterative Instruction Student Actviites Weighted Count</t>
  </si>
  <si>
    <t>SDHSAA Alternative Instruction Activity Need</t>
  </si>
  <si>
    <t>FY26 LOCAL EFFORT - OTH Revenue</t>
  </si>
  <si>
    <t>2025 State Aid Fall Enrollment</t>
  </si>
  <si>
    <t>SDHSAA AI Students</t>
  </si>
  <si>
    <t>ELL Students</t>
  </si>
  <si>
    <t>Eligible Alt Inst Students in HS Activities</t>
  </si>
  <si>
    <t>=Eligible Student count * 10% * PSE</t>
  </si>
  <si>
    <t>Alternative Instruction Participation Need</t>
  </si>
  <si>
    <r>
      <t xml:space="preserve">Need based on SDHSAA Participation   (Weighted count </t>
    </r>
    <r>
      <rPr>
        <b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PSE of $7,497.76)</t>
    </r>
  </si>
  <si>
    <t>= Total Teacher Compensation Need + Overhead Need + Alternative Instruction Activity Need</t>
  </si>
  <si>
    <t>Total Teacher Compensation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</si>
</sst>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General_)"/>
    <numFmt numFmtId="168" formatCode="&quot;$&quot;#,##0"/>
    <numFmt numFmtId="169" formatCode="&quot;$&quot;#,##0.00"/>
    <numFmt numFmtId="170" formatCode="_(&quot;$&quot;* #,##0.000_);_(&quot;$&quot;* \(#,##0.000\);_(&quot;$&quot;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Gill Sans MT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9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4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7B784"/>
        <bgColor indexed="64"/>
      </patternFill>
    </fill>
    <fill>
      <patternFill patternType="solid">
        <fgColor rgb="FFC7B784"/>
        <bgColor theme="4" tint="0.799951170384838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7C78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E2F6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n">
        <color auto="1"/>
      </bottom>
      <diagonal/>
    </border>
    <border>
      <left/>
      <right/>
      <top style="thick">
        <color theme="5" tint="-0.24994659260841701"/>
      </top>
      <bottom style="thin">
        <color auto="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n">
        <color auto="1"/>
      </bottom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 style="thin">
        <color auto="1"/>
      </top>
      <bottom style="thick">
        <color theme="5" tint="-0.24994659260841701"/>
      </bottom>
      <diagonal/>
    </border>
    <border>
      <left/>
      <right/>
      <top style="thin">
        <color auto="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n">
        <color auto="1"/>
      </top>
      <bottom style="thick">
        <color theme="5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301">
    <xf numFmtId="0" fontId="0" fillId="0" borderId="0" xfId="0"/>
    <xf numFmtId="0" fontId="7" fillId="10" borderId="21" xfId="19" applyFont="1" applyFill="1" applyBorder="1" applyAlignment="1">
      <alignment horizontal="center"/>
    </xf>
    <xf numFmtId="0" fontId="7" fillId="0" borderId="22" xfId="19" applyFont="1" applyBorder="1" applyAlignment="1">
      <alignment horizontal="right"/>
    </xf>
    <xf numFmtId="0" fontId="7" fillId="0" borderId="22" xfId="19" applyFont="1" applyBorder="1"/>
    <xf numFmtId="0" fontId="7" fillId="0" borderId="30" xfId="19" applyFont="1" applyBorder="1" applyAlignment="1">
      <alignment horizontal="right"/>
    </xf>
    <xf numFmtId="0" fontId="7" fillId="0" borderId="30" xfId="19" applyFont="1" applyBorder="1"/>
    <xf numFmtId="0" fontId="9" fillId="0" borderId="0" xfId="0" applyFont="1"/>
    <xf numFmtId="0" fontId="11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Protection="1">
      <protection locked="0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5" fontId="9" fillId="0" borderId="0" xfId="2" applyNumberFormat="1" applyFont="1" applyFill="1" applyBorder="1" applyAlignment="1" applyProtection="1">
      <alignment vertical="center"/>
      <protection locked="0"/>
    </xf>
    <xf numFmtId="164" fontId="9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44" fontId="0" fillId="0" borderId="44" xfId="2" applyFont="1" applyFill="1" applyBorder="1" applyProtection="1">
      <protection locked="0"/>
    </xf>
    <xf numFmtId="44" fontId="9" fillId="0" borderId="0" xfId="2" applyFont="1" applyProtection="1">
      <protection locked="0"/>
    </xf>
    <xf numFmtId="9" fontId="0" fillId="0" borderId="3" xfId="1" applyNumberFormat="1" applyFont="1" applyFill="1" applyBorder="1" applyProtection="1"/>
    <xf numFmtId="43" fontId="0" fillId="0" borderId="3" xfId="1" applyFont="1" applyBorder="1" applyProtection="1"/>
    <xf numFmtId="43" fontId="0" fillId="0" borderId="5" xfId="1" applyNumberFormat="1" applyFont="1" applyFill="1" applyBorder="1" applyProtection="1"/>
    <xf numFmtId="43" fontId="0" fillId="0" borderId="5" xfId="1" applyNumberFormat="1" applyFont="1" applyBorder="1" applyProtection="1"/>
    <xf numFmtId="43" fontId="0" fillId="0" borderId="0" xfId="1" applyNumberFormat="1" applyFont="1" applyBorder="1" applyProtection="1">
      <protection locked="0"/>
    </xf>
    <xf numFmtId="165" fontId="0" fillId="0" borderId="44" xfId="2" applyNumberFormat="1" applyFont="1" applyFill="1" applyBorder="1" applyProtection="1">
      <protection locked="0"/>
    </xf>
    <xf numFmtId="165" fontId="9" fillId="0" borderId="0" xfId="2" applyNumberFormat="1" applyFont="1" applyProtection="1">
      <protection locked="0"/>
    </xf>
    <xf numFmtId="9" fontId="0" fillId="0" borderId="5" xfId="3" applyFont="1" applyFill="1" applyBorder="1" applyProtection="1"/>
    <xf numFmtId="43" fontId="9" fillId="0" borderId="0" xfId="0" applyNumberFormat="1" applyFont="1" applyProtection="1">
      <protection locked="0"/>
    </xf>
    <xf numFmtId="44" fontId="0" fillId="0" borderId="0" xfId="2" applyFont="1" applyProtection="1">
      <protection locked="0"/>
    </xf>
    <xf numFmtId="43" fontId="13" fillId="0" borderId="7" xfId="1" applyFont="1" applyBorder="1" applyProtection="1"/>
    <xf numFmtId="44" fontId="10" fillId="0" borderId="7" xfId="2" applyFont="1" applyBorder="1" applyProtection="1">
      <protection locked="0"/>
    </xf>
    <xf numFmtId="44" fontId="0" fillId="0" borderId="3" xfId="2" applyNumberFormat="1" applyFont="1" applyFill="1" applyBorder="1" applyProtection="1"/>
    <xf numFmtId="44" fontId="9" fillId="0" borderId="0" xfId="0" applyNumberFormat="1" applyFont="1" applyProtection="1">
      <protection locked="0"/>
    </xf>
    <xf numFmtId="9" fontId="0" fillId="0" borderId="5" xfId="2" applyNumberFormat="1" applyFont="1" applyFill="1" applyBorder="1" applyProtection="1"/>
    <xf numFmtId="44" fontId="0" fillId="0" borderId="3" xfId="2" applyNumberFormat="1" applyFont="1" applyBorder="1" applyProtection="1"/>
    <xf numFmtId="0" fontId="14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165" fontId="14" fillId="0" borderId="0" xfId="2" applyNumberFormat="1" applyFont="1" applyFill="1" applyBorder="1" applyProtection="1"/>
    <xf numFmtId="0" fontId="13" fillId="0" borderId="0" xfId="0" applyFont="1" applyFill="1" applyBorder="1" applyProtection="1">
      <protection locked="0"/>
    </xf>
    <xf numFmtId="166" fontId="13" fillId="0" borderId="0" xfId="3" applyNumberFormat="1" applyFont="1" applyFill="1" applyBorder="1" applyAlignment="1" applyProtection="1">
      <alignment horizontal="center"/>
      <protection locked="0"/>
    </xf>
    <xf numFmtId="166" fontId="14" fillId="0" borderId="0" xfId="3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Font="1" applyBorder="1" applyProtection="1">
      <protection locked="0"/>
    </xf>
    <xf numFmtId="170" fontId="14" fillId="0" borderId="0" xfId="2" applyNumberFormat="1" applyFont="1" applyFill="1" applyBorder="1" applyProtection="1"/>
    <xf numFmtId="165" fontId="13" fillId="0" borderId="0" xfId="2" applyNumberFormat="1" applyFont="1" applyFill="1" applyBorder="1" applyProtection="1"/>
    <xf numFmtId="0" fontId="14" fillId="0" borderId="35" xfId="0" applyFont="1" applyBorder="1" applyAlignment="1" applyProtection="1">
      <alignment horizontal="center"/>
    </xf>
    <xf numFmtId="0" fontId="9" fillId="0" borderId="36" xfId="0" applyFont="1" applyFill="1" applyBorder="1" applyProtection="1">
      <protection locked="0"/>
    </xf>
    <xf numFmtId="0" fontId="17" fillId="0" borderId="37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38" xfId="0" applyFont="1" applyBorder="1" applyAlignment="1" applyProtection="1">
      <alignment horizontal="center"/>
    </xf>
    <xf numFmtId="165" fontId="0" fillId="0" borderId="0" xfId="2" applyNumberFormat="1" applyFont="1" applyFill="1" applyBorder="1" applyProtection="1"/>
    <xf numFmtId="165" fontId="0" fillId="0" borderId="38" xfId="2" applyNumberFormat="1" applyFont="1" applyFill="1" applyBorder="1" applyProtection="1"/>
    <xf numFmtId="0" fontId="9" fillId="0" borderId="38" xfId="0" applyFont="1" applyFill="1" applyBorder="1" applyProtection="1">
      <protection locked="0"/>
    </xf>
    <xf numFmtId="165" fontId="0" fillId="0" borderId="0" xfId="2" applyNumberFormat="1" applyFont="1" applyBorder="1" applyProtection="1"/>
    <xf numFmtId="165" fontId="0" fillId="0" borderId="38" xfId="2" applyNumberFormat="1" applyFont="1" applyBorder="1" applyProtection="1"/>
    <xf numFmtId="170" fontId="0" fillId="0" borderId="0" xfId="2" applyNumberFormat="1" applyFont="1" applyFill="1" applyBorder="1" applyProtection="1"/>
    <xf numFmtId="0" fontId="0" fillId="0" borderId="38" xfId="0" applyFont="1" applyFill="1" applyBorder="1" applyProtection="1">
      <protection locked="0"/>
    </xf>
    <xf numFmtId="165" fontId="0" fillId="0" borderId="40" xfId="2" applyNumberFormat="1" applyFont="1" applyBorder="1" applyProtection="1"/>
    <xf numFmtId="165" fontId="13" fillId="0" borderId="41" xfId="2" applyNumberFormat="1" applyFont="1" applyFill="1" applyBorder="1" applyProtection="1"/>
    <xf numFmtId="0" fontId="17" fillId="0" borderId="0" xfId="0" applyFont="1" applyBorder="1" applyAlignment="1" applyProtection="1">
      <alignment horizontal="center"/>
    </xf>
    <xf numFmtId="44" fontId="12" fillId="0" borderId="0" xfId="2" applyFont="1" applyProtection="1">
      <protection locked="0"/>
    </xf>
    <xf numFmtId="0" fontId="19" fillId="0" borderId="19" xfId="0" applyFont="1" applyFill="1" applyBorder="1" applyAlignment="1" applyProtection="1">
      <alignment horizontal="right" vertical="center"/>
    </xf>
    <xf numFmtId="0" fontId="20" fillId="0" borderId="23" xfId="0" applyFont="1" applyFill="1" applyBorder="1" applyAlignment="1" applyProtection="1">
      <alignment horizontal="left"/>
    </xf>
    <xf numFmtId="0" fontId="20" fillId="0" borderId="25" xfId="0" applyFont="1" applyFill="1" applyBorder="1" applyAlignment="1" applyProtection="1">
      <alignment horizontal="left"/>
    </xf>
    <xf numFmtId="0" fontId="23" fillId="0" borderId="0" xfId="0" applyFont="1" applyProtection="1"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left"/>
    </xf>
    <xf numFmtId="0" fontId="9" fillId="0" borderId="2" xfId="0" applyFont="1" applyBorder="1" applyProtection="1"/>
    <xf numFmtId="0" fontId="9" fillId="0" borderId="2" xfId="0" applyFont="1" applyBorder="1"/>
    <xf numFmtId="0" fontId="9" fillId="0" borderId="4" xfId="0" applyFont="1" applyBorder="1" applyProtection="1"/>
    <xf numFmtId="0" fontId="10" fillId="0" borderId="6" xfId="0" applyFont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 vertical="center"/>
    </xf>
    <xf numFmtId="0" fontId="28" fillId="0" borderId="29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left"/>
    </xf>
    <xf numFmtId="0" fontId="9" fillId="0" borderId="37" xfId="0" applyFont="1" applyBorder="1" applyProtection="1"/>
    <xf numFmtId="0" fontId="12" fillId="0" borderId="37" xfId="0" applyFont="1" applyBorder="1" applyProtection="1">
      <protection locked="0"/>
    </xf>
    <xf numFmtId="0" fontId="10" fillId="0" borderId="39" xfId="0" applyFont="1" applyBorder="1" applyProtection="1"/>
    <xf numFmtId="0" fontId="9" fillId="0" borderId="0" xfId="0" applyFont="1" applyBorder="1" applyProtection="1"/>
    <xf numFmtId="0" fontId="9" fillId="0" borderId="0" xfId="0" applyFont="1" applyProtection="1"/>
    <xf numFmtId="0" fontId="9" fillId="0" borderId="0" xfId="0" applyFont="1" applyFill="1" applyBorder="1" applyProtection="1"/>
    <xf numFmtId="0" fontId="31" fillId="0" borderId="0" xfId="9" applyFont="1" applyAlignment="1">
      <alignment horizontal="left"/>
    </xf>
    <xf numFmtId="0" fontId="26" fillId="0" borderId="0" xfId="9" applyFont="1" applyAlignment="1">
      <alignment horizontal="left"/>
    </xf>
    <xf numFmtId="0" fontId="26" fillId="0" borderId="0" xfId="9" applyFont="1"/>
    <xf numFmtId="2" fontId="26" fillId="0" borderId="0" xfId="9" applyNumberFormat="1" applyFont="1"/>
    <xf numFmtId="168" fontId="26" fillId="0" borderId="0" xfId="9" applyNumberFormat="1" applyFont="1"/>
    <xf numFmtId="0" fontId="32" fillId="0" borderId="0" xfId="9" applyFont="1" applyAlignment="1">
      <alignment horizontal="left"/>
    </xf>
    <xf numFmtId="0" fontId="32" fillId="0" borderId="0" xfId="9" applyFont="1" applyAlignment="1">
      <alignment horizontal="center"/>
    </xf>
    <xf numFmtId="2" fontId="32" fillId="0" borderId="0" xfId="9" quotePrefix="1" applyNumberFormat="1" applyFont="1" applyAlignment="1">
      <alignment horizontal="center"/>
    </xf>
    <xf numFmtId="0" fontId="32" fillId="0" borderId="0" xfId="9" quotePrefix="1" applyFont="1" applyAlignment="1">
      <alignment horizontal="center"/>
    </xf>
    <xf numFmtId="168" fontId="32" fillId="0" borderId="0" xfId="9" applyNumberFormat="1" applyFont="1" applyAlignment="1">
      <alignment horizontal="center"/>
    </xf>
    <xf numFmtId="0" fontId="26" fillId="0" borderId="0" xfId="9" applyFont="1" applyAlignment="1">
      <alignment horizontal="center"/>
    </xf>
    <xf numFmtId="168" fontId="26" fillId="11" borderId="10" xfId="9" applyNumberFormat="1" applyFont="1" applyFill="1" applyBorder="1" applyAlignment="1">
      <alignment horizontal="center" wrapText="1"/>
    </xf>
    <xf numFmtId="0" fontId="26" fillId="0" borderId="45" xfId="9" applyFont="1" applyBorder="1" applyAlignment="1">
      <alignment horizontal="left"/>
    </xf>
    <xf numFmtId="0" fontId="26" fillId="0" borderId="45" xfId="9" applyFont="1" applyBorder="1" applyAlignment="1">
      <alignment horizontal="right"/>
    </xf>
    <xf numFmtId="4" fontId="26" fillId="0" borderId="45" xfId="9" applyNumberFormat="1" applyFont="1" applyBorder="1"/>
    <xf numFmtId="2" fontId="26" fillId="0" borderId="45" xfId="9" applyNumberFormat="1" applyFont="1" applyBorder="1"/>
    <xf numFmtId="168" fontId="26" fillId="0" borderId="45" xfId="9" applyNumberFormat="1" applyFont="1" applyBorder="1"/>
    <xf numFmtId="0" fontId="26" fillId="0" borderId="32" xfId="9" applyFont="1" applyBorder="1" applyAlignment="1">
      <alignment horizontal="left"/>
    </xf>
    <xf numFmtId="0" fontId="26" fillId="0" borderId="32" xfId="9" applyFont="1" applyBorder="1" applyAlignment="1">
      <alignment horizontal="right"/>
    </xf>
    <xf numFmtId="4" fontId="26" fillId="0" borderId="32" xfId="9" applyNumberFormat="1" applyFont="1" applyBorder="1"/>
    <xf numFmtId="2" fontId="26" fillId="0" borderId="32" xfId="9" applyNumberFormat="1" applyFont="1" applyBorder="1"/>
    <xf numFmtId="168" fontId="26" fillId="0" borderId="32" xfId="9" applyNumberFormat="1" applyFont="1" applyBorder="1"/>
    <xf numFmtId="3" fontId="26" fillId="0" borderId="32" xfId="9" applyNumberFormat="1" applyFont="1" applyBorder="1" applyAlignment="1">
      <alignment horizontal="left"/>
    </xf>
    <xf numFmtId="0" fontId="26" fillId="0" borderId="32" xfId="9" applyFont="1" applyBorder="1"/>
    <xf numFmtId="0" fontId="16" fillId="0" borderId="0" xfId="0" applyFont="1" applyAlignment="1">
      <alignment horizontal="left" vertical="center"/>
    </xf>
    <xf numFmtId="0" fontId="34" fillId="0" borderId="0" xfId="0" applyFont="1" applyProtection="1">
      <protection locked="0"/>
    </xf>
    <xf numFmtId="0" fontId="16" fillId="0" borderId="0" xfId="0" applyFont="1"/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Alignment="1" applyProtection="1">
      <alignment horizontal="centerContinuous"/>
      <protection locked="0"/>
    </xf>
    <xf numFmtId="0" fontId="0" fillId="0" borderId="0" xfId="0" applyFont="1" applyProtection="1">
      <protection locked="0"/>
    </xf>
    <xf numFmtId="43" fontId="9" fillId="0" borderId="0" xfId="1" applyNumberFormat="1" applyFont="1" applyFill="1"/>
    <xf numFmtId="43" fontId="9" fillId="0" borderId="0" xfId="1" applyFont="1" applyFill="1"/>
    <xf numFmtId="0" fontId="9" fillId="0" borderId="0" xfId="0" applyFont="1" applyBorder="1"/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Fill="1"/>
    <xf numFmtId="43" fontId="9" fillId="0" borderId="0" xfId="1" applyFont="1" applyFill="1" applyBorder="1"/>
    <xf numFmtId="9" fontId="9" fillId="0" borderId="0" xfId="0" applyNumberFormat="1" applyFont="1" applyFill="1"/>
    <xf numFmtId="0" fontId="9" fillId="0" borderId="0" xfId="0" applyFont="1" applyFill="1"/>
    <xf numFmtId="10" fontId="9" fillId="0" borderId="0" xfId="0" applyNumberFormat="1" applyFont="1" applyFill="1"/>
    <xf numFmtId="164" fontId="9" fillId="0" borderId="0" xfId="1" applyNumberFormat="1" applyFont="1" applyFill="1"/>
    <xf numFmtId="0" fontId="27" fillId="0" borderId="0" xfId="0" applyFont="1" applyAlignment="1" applyProtection="1">
      <alignment horizontal="right" wrapText="1"/>
      <protection locked="0"/>
    </xf>
    <xf numFmtId="0" fontId="27" fillId="0" borderId="31" xfId="0" applyFont="1" applyFill="1" applyBorder="1" applyAlignment="1">
      <alignment horizontal="left" wrapText="1"/>
    </xf>
    <xf numFmtId="0" fontId="27" fillId="0" borderId="31" xfId="0" quotePrefix="1" applyFont="1" applyFill="1" applyBorder="1" applyAlignment="1">
      <alignment horizontal="left" wrapText="1"/>
    </xf>
    <xf numFmtId="0" fontId="9" fillId="0" borderId="33" xfId="0" applyFont="1" applyFill="1" applyBorder="1" applyProtection="1">
      <protection locked="0"/>
    </xf>
    <xf numFmtId="0" fontId="0" fillId="0" borderId="33" xfId="0" applyFont="1" applyFill="1" applyBorder="1" applyAlignment="1" applyProtection="1">
      <alignment horizontal="left"/>
      <protection locked="0"/>
    </xf>
    <xf numFmtId="0" fontId="9" fillId="0" borderId="0" xfId="0" applyFont="1" applyFill="1" applyAlignment="1">
      <alignment horizontal="left" wrapText="1"/>
    </xf>
    <xf numFmtId="0" fontId="0" fillId="0" borderId="0" xfId="0" applyFont="1" applyFill="1" applyProtection="1">
      <protection locked="0"/>
    </xf>
    <xf numFmtId="0" fontId="0" fillId="0" borderId="33" xfId="0" applyFont="1" applyFill="1" applyBorder="1" applyProtection="1">
      <protection locked="0"/>
    </xf>
    <xf numFmtId="164" fontId="0" fillId="0" borderId="0" xfId="1" applyNumberFormat="1" applyFont="1"/>
    <xf numFmtId="0" fontId="20" fillId="0" borderId="20" xfId="0" applyFont="1" applyFill="1" applyBorder="1" applyAlignment="1" applyProtection="1">
      <alignment horizontal="left"/>
    </xf>
    <xf numFmtId="0" fontId="30" fillId="0" borderId="10" xfId="0" applyFont="1" applyFill="1" applyBorder="1" applyAlignment="1" applyProtection="1">
      <alignment horizontal="left"/>
    </xf>
    <xf numFmtId="0" fontId="7" fillId="0" borderId="46" xfId="19" applyFont="1" applyBorder="1" applyAlignment="1">
      <alignment horizontal="right"/>
    </xf>
    <xf numFmtId="0" fontId="0" fillId="0" borderId="8" xfId="0" applyFont="1" applyFill="1" applyBorder="1" applyAlignment="1" applyProtection="1">
      <alignment horizontal="left"/>
    </xf>
    <xf numFmtId="165" fontId="0" fillId="0" borderId="9" xfId="2" applyNumberFormat="1" applyFont="1" applyFill="1" applyBorder="1" applyProtection="1"/>
    <xf numFmtId="165" fontId="20" fillId="0" borderId="24" xfId="2" applyNumberFormat="1" applyFont="1" applyFill="1" applyBorder="1" applyProtection="1"/>
    <xf numFmtId="165" fontId="20" fillId="0" borderId="26" xfId="2" applyNumberFormat="1" applyFont="1" applyFill="1" applyBorder="1" applyProtection="1"/>
    <xf numFmtId="165" fontId="20" fillId="0" borderId="5" xfId="2" applyNumberFormat="1" applyFont="1" applyFill="1" applyBorder="1" applyProtection="1"/>
    <xf numFmtId="165" fontId="30" fillId="0" borderId="7" xfId="2" applyNumberFormat="1" applyFont="1" applyFill="1" applyBorder="1" applyProtection="1"/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Continuous" wrapText="1"/>
    </xf>
    <xf numFmtId="43" fontId="10" fillId="13" borderId="31" xfId="1" applyFont="1" applyFill="1" applyBorder="1"/>
    <xf numFmtId="0" fontId="0" fillId="13" borderId="0" xfId="0" applyFont="1" applyFill="1"/>
    <xf numFmtId="0" fontId="9" fillId="13" borderId="0" xfId="0" applyFont="1" applyFill="1"/>
    <xf numFmtId="0" fontId="14" fillId="0" borderId="0" xfId="0" applyFont="1" applyFill="1" applyAlignment="1">
      <alignment horizontal="center"/>
    </xf>
    <xf numFmtId="0" fontId="10" fillId="0" borderId="31" xfId="0" applyFont="1" applyFill="1" applyBorder="1"/>
    <xf numFmtId="43" fontId="10" fillId="0" borderId="31" xfId="1" applyFont="1" applyFill="1" applyBorder="1"/>
    <xf numFmtId="0" fontId="0" fillId="0" borderId="31" xfId="0" applyFont="1" applyFill="1" applyBorder="1"/>
    <xf numFmtId="0" fontId="27" fillId="0" borderId="31" xfId="0" quotePrefix="1" applyFont="1" applyFill="1" applyBorder="1" applyAlignment="1">
      <alignment horizontal="left"/>
    </xf>
    <xf numFmtId="0" fontId="37" fillId="0" borderId="0" xfId="0" applyFont="1" applyAlignment="1">
      <alignment horizontal="centerContinuous"/>
    </xf>
    <xf numFmtId="0" fontId="37" fillId="0" borderId="0" xfId="0" applyFont="1" applyProtection="1">
      <protection locked="0"/>
    </xf>
    <xf numFmtId="0" fontId="38" fillId="0" borderId="0" xfId="0" applyFont="1" applyAlignment="1">
      <alignment horizontal="centerContinuous"/>
    </xf>
    <xf numFmtId="0" fontId="37" fillId="0" borderId="0" xfId="0" applyFont="1" applyAlignment="1">
      <alignment horizontal="centerContinuous" wrapText="1"/>
    </xf>
    <xf numFmtId="0" fontId="37" fillId="0" borderId="0" xfId="0" applyFont="1"/>
    <xf numFmtId="0" fontId="37" fillId="0" borderId="0" xfId="0" applyFont="1" applyAlignment="1">
      <alignment horizontal="right" wrapText="1"/>
    </xf>
    <xf numFmtId="0" fontId="13" fillId="0" borderId="31" xfId="0" applyFont="1" applyFill="1" applyBorder="1"/>
    <xf numFmtId="0" fontId="0" fillId="0" borderId="31" xfId="0" applyFont="1" applyBorder="1"/>
    <xf numFmtId="43" fontId="1" fillId="0" borderId="0" xfId="1" applyNumberFormat="1" applyFont="1"/>
    <xf numFmtId="43" fontId="1" fillId="13" borderId="0" xfId="1" applyNumberFormat="1" applyFont="1" applyFill="1"/>
    <xf numFmtId="43" fontId="1" fillId="0" borderId="0" xfId="1" applyFont="1"/>
    <xf numFmtId="43" fontId="1" fillId="13" borderId="0" xfId="1" applyFont="1" applyFill="1"/>
    <xf numFmtId="43" fontId="1" fillId="0" borderId="31" xfId="1" applyFont="1" applyBorder="1"/>
    <xf numFmtId="43" fontId="1" fillId="13" borderId="31" xfId="1" applyFont="1" applyFill="1" applyBorder="1"/>
    <xf numFmtId="0" fontId="0" fillId="0" borderId="0" xfId="0" applyFont="1" applyBorder="1"/>
    <xf numFmtId="43" fontId="1" fillId="13" borderId="0" xfId="1" applyFont="1" applyFill="1" applyBorder="1"/>
    <xf numFmtId="9" fontId="1" fillId="0" borderId="0" xfId="0" applyNumberFormat="1" applyFont="1"/>
    <xf numFmtId="9" fontId="1" fillId="13" borderId="0" xfId="0" applyNumberFormat="1" applyFont="1" applyFill="1"/>
    <xf numFmtId="0" fontId="1" fillId="0" borderId="0" xfId="0" applyFont="1"/>
    <xf numFmtId="0" fontId="1" fillId="13" borderId="0" xfId="0" applyFont="1" applyFill="1"/>
    <xf numFmtId="10" fontId="0" fillId="0" borderId="0" xfId="0" applyNumberFormat="1" applyFont="1"/>
    <xf numFmtId="10" fontId="0" fillId="13" borderId="0" xfId="0" applyNumberFormat="1" applyFont="1" applyFill="1"/>
    <xf numFmtId="0" fontId="14" fillId="0" borderId="31" xfId="0" applyFont="1" applyFill="1" applyBorder="1"/>
    <xf numFmtId="164" fontId="14" fillId="13" borderId="31" xfId="0" applyNumberFormat="1" applyFont="1" applyFill="1" applyBorder="1"/>
    <xf numFmtId="164" fontId="0" fillId="13" borderId="0" xfId="1" applyNumberFormat="1" applyFont="1" applyFill="1"/>
    <xf numFmtId="164" fontId="14" fillId="0" borderId="31" xfId="0" applyNumberFormat="1" applyFont="1" applyFill="1" applyBorder="1"/>
    <xf numFmtId="0" fontId="27" fillId="0" borderId="0" xfId="0" quotePrefix="1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7" fillId="0" borderId="0" xfId="0" quotePrefix="1" applyFont="1" applyFill="1" applyBorder="1" applyAlignment="1">
      <alignment horizontal="left" wrapText="1"/>
    </xf>
    <xf numFmtId="0" fontId="18" fillId="0" borderId="31" xfId="0" applyFont="1" applyFill="1" applyBorder="1"/>
    <xf numFmtId="164" fontId="0" fillId="0" borderId="0" xfId="1" applyNumberFormat="1" applyFont="1" applyBorder="1"/>
    <xf numFmtId="164" fontId="0" fillId="13" borderId="0" xfId="1" applyNumberFormat="1" applyFont="1" applyFill="1" applyBorder="1"/>
    <xf numFmtId="0" fontId="27" fillId="0" borderId="0" xfId="0" applyFont="1" applyFill="1" applyBorder="1" applyAlignment="1">
      <alignment horizontal="left" wrapText="1"/>
    </xf>
    <xf numFmtId="0" fontId="9" fillId="0" borderId="0" xfId="0" applyFont="1" applyFill="1" applyBorder="1" applyProtection="1">
      <protection locked="0"/>
    </xf>
    <xf numFmtId="0" fontId="17" fillId="0" borderId="0" xfId="0" applyFont="1" applyBorder="1" applyAlignment="1" applyProtection="1">
      <alignment horizontal="center"/>
    </xf>
    <xf numFmtId="0" fontId="35" fillId="0" borderId="0" xfId="9" applyFont="1" applyFill="1" applyBorder="1" applyAlignment="1" applyProtection="1">
      <protection locked="0"/>
    </xf>
    <xf numFmtId="4" fontId="35" fillId="0" borderId="0" xfId="9" applyNumberFormat="1" applyFont="1" applyFill="1" applyBorder="1" applyAlignment="1" applyProtection="1">
      <protection locked="0"/>
    </xf>
    <xf numFmtId="0" fontId="40" fillId="14" borderId="18" xfId="6" applyFont="1" applyFill="1" applyBorder="1" applyAlignment="1" applyProtection="1">
      <alignment horizontal="center" wrapText="1"/>
    </xf>
    <xf numFmtId="0" fontId="40" fillId="14" borderId="17" xfId="6" applyFont="1" applyFill="1" applyBorder="1" applyAlignment="1" applyProtection="1">
      <alignment horizontal="center" wrapText="1"/>
    </xf>
    <xf numFmtId="4" fontId="40" fillId="14" borderId="17" xfId="6" applyNumberFormat="1" applyFont="1" applyFill="1" applyBorder="1" applyAlignment="1" applyProtection="1">
      <alignment horizontal="center" wrapText="1"/>
    </xf>
    <xf numFmtId="0" fontId="35" fillId="0" borderId="0" xfId="9" applyFont="1" applyFill="1" applyBorder="1" applyAlignment="1" applyProtection="1">
      <alignment wrapText="1"/>
      <protection locked="0"/>
    </xf>
    <xf numFmtId="0" fontId="41" fillId="0" borderId="0" xfId="9" applyFont="1" applyFill="1" applyBorder="1" applyAlignment="1" applyProtection="1">
      <protection locked="0"/>
    </xf>
    <xf numFmtId="0" fontId="42" fillId="0" borderId="16" xfId="6" applyNumberFormat="1" applyFont="1" applyFill="1" applyBorder="1" applyAlignment="1" applyProtection="1"/>
    <xf numFmtId="0" fontId="42" fillId="0" borderId="14" xfId="6" applyFont="1" applyFill="1" applyBorder="1" applyAlignment="1" applyProtection="1"/>
    <xf numFmtId="4" fontId="25" fillId="0" borderId="14" xfId="9" applyNumberFormat="1" applyFont="1" applyFill="1" applyBorder="1" applyAlignment="1" applyProtection="1"/>
    <xf numFmtId="0" fontId="25" fillId="0" borderId="0" xfId="9" applyFont="1" applyFill="1" applyBorder="1" applyAlignment="1" applyProtection="1">
      <protection locked="0"/>
    </xf>
    <xf numFmtId="0" fontId="42" fillId="4" borderId="15" xfId="6" applyNumberFormat="1" applyFont="1" applyFill="1" applyBorder="1" applyAlignment="1" applyProtection="1"/>
    <xf numFmtId="0" fontId="42" fillId="4" borderId="14" xfId="6" applyFont="1" applyFill="1" applyBorder="1" applyAlignment="1" applyProtection="1"/>
    <xf numFmtId="4" fontId="42" fillId="4" borderId="14" xfId="9" applyNumberFormat="1" applyFont="1" applyFill="1" applyBorder="1" applyAlignment="1" applyProtection="1"/>
    <xf numFmtId="0" fontId="36" fillId="3" borderId="15" xfId="6" applyNumberFormat="1" applyFont="1" applyFill="1" applyBorder="1" applyAlignment="1" applyProtection="1"/>
    <xf numFmtId="0" fontId="36" fillId="3" borderId="14" xfId="6" applyFont="1" applyFill="1" applyBorder="1" applyAlignment="1" applyProtection="1"/>
    <xf numFmtId="0" fontId="25" fillId="0" borderId="0" xfId="9" applyFont="1" applyFill="1" applyBorder="1" applyAlignment="1" applyProtection="1"/>
    <xf numFmtId="4" fontId="25" fillId="0" borderId="0" xfId="9" applyNumberFormat="1" applyFont="1" applyFill="1" applyBorder="1" applyAlignment="1" applyProtection="1">
      <protection locked="0"/>
    </xf>
    <xf numFmtId="166" fontId="25" fillId="0" borderId="0" xfId="3" applyNumberFormat="1" applyFont="1" applyFill="1" applyBorder="1" applyAlignment="1" applyProtection="1">
      <protection locked="0"/>
    </xf>
    <xf numFmtId="0" fontId="36" fillId="3" borderId="0" xfId="6" applyNumberFormat="1" applyFont="1" applyFill="1" applyBorder="1" applyAlignment="1" applyProtection="1"/>
    <xf numFmtId="0" fontId="36" fillId="3" borderId="47" xfId="6" applyFont="1" applyFill="1" applyBorder="1" applyAlignment="1" applyProtection="1"/>
    <xf numFmtId="4" fontId="25" fillId="0" borderId="48" xfId="9" applyNumberFormat="1" applyFont="1" applyFill="1" applyBorder="1" applyAlignment="1" applyProtection="1"/>
    <xf numFmtId="0" fontId="25" fillId="14" borderId="13" xfId="9" applyFont="1" applyFill="1" applyBorder="1" applyAlignment="1" applyProtection="1">
      <alignment horizontal="center"/>
    </xf>
    <xf numFmtId="4" fontId="25" fillId="14" borderId="12" xfId="9" applyNumberFormat="1" applyFont="1" applyFill="1" applyBorder="1" applyAlignment="1" applyProtection="1"/>
    <xf numFmtId="0" fontId="26" fillId="11" borderId="49" xfId="9" applyFont="1" applyFill="1" applyBorder="1" applyAlignment="1">
      <alignment horizontal="center" wrapText="1"/>
    </xf>
    <xf numFmtId="0" fontId="26" fillId="11" borderId="49" xfId="9" applyFont="1" applyFill="1" applyBorder="1" applyAlignment="1">
      <alignment horizontal="left" wrapText="1"/>
    </xf>
    <xf numFmtId="2" fontId="26" fillId="11" borderId="49" xfId="9" applyNumberFormat="1" applyFont="1" applyFill="1" applyBorder="1" applyAlignment="1">
      <alignment horizontal="center" wrapText="1"/>
    </xf>
    <xf numFmtId="0" fontId="26" fillId="11" borderId="49" xfId="9" applyFont="1" applyFill="1" applyBorder="1" applyAlignment="1">
      <alignment horizontal="center"/>
    </xf>
    <xf numFmtId="168" fontId="26" fillId="11" borderId="49" xfId="9" applyNumberFormat="1" applyFont="1" applyFill="1" applyBorder="1" applyAlignment="1">
      <alignment horizontal="center" wrapText="1"/>
    </xf>
    <xf numFmtId="0" fontId="25" fillId="0" borderId="0" xfId="0" applyFont="1"/>
    <xf numFmtId="0" fontId="35" fillId="0" borderId="0" xfId="0" applyFont="1"/>
    <xf numFmtId="0" fontId="44" fillId="0" borderId="0" xfId="6" applyFont="1" applyAlignment="1">
      <alignment horizontal="center"/>
    </xf>
    <xf numFmtId="0" fontId="25" fillId="12" borderId="11" xfId="0" applyFont="1" applyFill="1" applyBorder="1" applyAlignment="1">
      <alignment horizontal="center" wrapText="1"/>
    </xf>
    <xf numFmtId="6" fontId="25" fillId="0" borderId="0" xfId="0" applyNumberFormat="1" applyFont="1"/>
    <xf numFmtId="166" fontId="13" fillId="13" borderId="43" xfId="3" applyNumberFormat="1" applyFont="1" applyFill="1" applyBorder="1" applyAlignment="1" applyProtection="1">
      <alignment horizontal="center"/>
      <protection locked="0"/>
    </xf>
    <xf numFmtId="0" fontId="41" fillId="13" borderId="25" xfId="0" applyFont="1" applyFill="1" applyBorder="1" applyAlignment="1" applyProtection="1">
      <alignment horizontal="center" vertical="center"/>
    </xf>
    <xf numFmtId="43" fontId="0" fillId="11" borderId="43" xfId="1" applyNumberFormat="1" applyFont="1" applyFill="1" applyBorder="1" applyProtection="1">
      <protection locked="0"/>
    </xf>
    <xf numFmtId="0" fontId="16" fillId="11" borderId="27" xfId="0" applyFont="1" applyFill="1" applyBorder="1" applyAlignment="1" applyProtection="1">
      <alignment horizontal="left"/>
    </xf>
    <xf numFmtId="0" fontId="16" fillId="11" borderId="10" xfId="0" applyFont="1" applyFill="1" applyBorder="1" applyAlignment="1" applyProtection="1">
      <alignment horizontal="left"/>
    </xf>
    <xf numFmtId="165" fontId="18" fillId="11" borderId="7" xfId="0" applyNumberFormat="1" applyFont="1" applyFill="1" applyBorder="1" applyProtection="1"/>
    <xf numFmtId="0" fontId="39" fillId="11" borderId="10" xfId="0" applyFont="1" applyFill="1" applyBorder="1" applyAlignment="1" applyProtection="1">
      <alignment horizontal="left"/>
    </xf>
    <xf numFmtId="165" fontId="45" fillId="11" borderId="7" xfId="2" applyNumberFormat="1" applyFont="1" applyFill="1" applyBorder="1" applyProtection="1"/>
    <xf numFmtId="0" fontId="41" fillId="0" borderId="0" xfId="0" applyFont="1"/>
    <xf numFmtId="0" fontId="47" fillId="0" borderId="0" xfId="0" applyFont="1"/>
    <xf numFmtId="0" fontId="25" fillId="12" borderId="11" xfId="0" applyFont="1" applyFill="1" applyBorder="1"/>
    <xf numFmtId="0" fontId="25" fillId="12" borderId="11" xfId="0" applyFont="1" applyFill="1" applyBorder="1" applyAlignment="1">
      <alignment horizontal="center"/>
    </xf>
    <xf numFmtId="0" fontId="25" fillId="0" borderId="11" xfId="39" applyFont="1" applyBorder="1"/>
    <xf numFmtId="0" fontId="25" fillId="0" borderId="11" xfId="39" applyFont="1" applyBorder="1" applyAlignment="1">
      <alignment horizontal="right"/>
    </xf>
    <xf numFmtId="6" fontId="25" fillId="0" borderId="11" xfId="39" applyNumberFormat="1" applyFont="1" applyBorder="1" applyAlignment="1">
      <alignment horizontal="right"/>
    </xf>
    <xf numFmtId="164" fontId="25" fillId="0" borderId="0" xfId="9" applyNumberFormat="1" applyFont="1"/>
    <xf numFmtId="0" fontId="25" fillId="0" borderId="0" xfId="9" applyFont="1"/>
    <xf numFmtId="0" fontId="25" fillId="0" borderId="0" xfId="9" applyFont="1" applyAlignment="1">
      <alignment horizontal="center"/>
    </xf>
    <xf numFmtId="164" fontId="0" fillId="11" borderId="43" xfId="1" applyNumberFormat="1" applyFont="1" applyFill="1" applyBorder="1" applyProtection="1">
      <protection locked="0"/>
    </xf>
    <xf numFmtId="43" fontId="0" fillId="0" borderId="0" xfId="1" applyFont="1" applyBorder="1" applyProtection="1"/>
    <xf numFmtId="0" fontId="9" fillId="0" borderId="6" xfId="0" applyFont="1" applyBorder="1" applyProtection="1"/>
    <xf numFmtId="43" fontId="0" fillId="0" borderId="7" xfId="1" applyFont="1" applyBorder="1" applyProtection="1"/>
    <xf numFmtId="0" fontId="9" fillId="0" borderId="50" xfId="0" applyFont="1" applyFill="1" applyBorder="1" applyAlignment="1" applyProtection="1">
      <alignment horizontal="left"/>
    </xf>
    <xf numFmtId="165" fontId="0" fillId="0" borderId="51" xfId="0" applyNumberFormat="1" applyFont="1" applyFill="1" applyBorder="1" applyProtection="1"/>
    <xf numFmtId="0" fontId="0" fillId="0" borderId="6" xfId="0" applyFont="1" applyBorder="1" applyProtection="1"/>
    <xf numFmtId="0" fontId="9" fillId="0" borderId="50" xfId="0" applyFont="1" applyBorder="1" applyProtection="1"/>
    <xf numFmtId="43" fontId="0" fillId="11" borderId="52" xfId="1" applyNumberFormat="1" applyFont="1" applyFill="1" applyBorder="1" applyProtection="1">
      <protection locked="0"/>
    </xf>
    <xf numFmtId="165" fontId="0" fillId="11" borderId="28" xfId="0" applyNumberFormat="1" applyFont="1" applyFill="1" applyBorder="1" applyProtection="1"/>
    <xf numFmtId="10" fontId="0" fillId="0" borderId="3" xfId="2" applyNumberFormat="1" applyFont="1" applyFill="1" applyBorder="1" applyProtection="1"/>
    <xf numFmtId="0" fontId="21" fillId="0" borderId="0" xfId="40" applyFont="1"/>
    <xf numFmtId="1" fontId="9" fillId="0" borderId="0" xfId="41" applyNumberFormat="1" applyFont="1"/>
    <xf numFmtId="164" fontId="9" fillId="0" borderId="0" xfId="42" applyNumberFormat="1" applyFont="1"/>
    <xf numFmtId="0" fontId="1" fillId="0" borderId="0" xfId="41"/>
    <xf numFmtId="0" fontId="1" fillId="0" borderId="0" xfId="43"/>
    <xf numFmtId="0" fontId="9" fillId="0" borderId="0" xfId="41" applyFont="1"/>
    <xf numFmtId="0" fontId="9" fillId="0" borderId="0" xfId="43" applyFont="1"/>
    <xf numFmtId="0" fontId="25" fillId="0" borderId="0" xfId="44" applyFont="1"/>
    <xf numFmtId="1" fontId="25" fillId="0" borderId="0" xfId="45" applyNumberFormat="1" applyFont="1"/>
    <xf numFmtId="168" fontId="25" fillId="0" borderId="0" xfId="45" applyNumberFormat="1" applyFont="1" applyAlignment="1">
      <alignment horizontal="center"/>
    </xf>
    <xf numFmtId="0" fontId="25" fillId="0" borderId="0" xfId="45" applyFont="1"/>
    <xf numFmtId="168" fontId="25" fillId="5" borderId="0" xfId="45" applyNumberFormat="1" applyFont="1" applyFill="1" applyAlignment="1">
      <alignment horizontal="center"/>
    </xf>
    <xf numFmtId="168" fontId="25" fillId="6" borderId="0" xfId="45" applyNumberFormat="1" applyFont="1" applyFill="1" applyAlignment="1">
      <alignment horizontal="center"/>
    </xf>
    <xf numFmtId="168" fontId="25" fillId="7" borderId="0" xfId="45" applyNumberFormat="1" applyFont="1" applyFill="1" applyAlignment="1">
      <alignment horizontal="center"/>
    </xf>
    <xf numFmtId="0" fontId="9" fillId="11" borderId="11" xfId="46" applyFont="1" applyFill="1" applyBorder="1" applyAlignment="1">
      <alignment horizontal="center" wrapText="1"/>
    </xf>
    <xf numFmtId="1" fontId="9" fillId="11" borderId="11" xfId="46" applyNumberFormat="1" applyFont="1" applyFill="1" applyBorder="1" applyAlignment="1">
      <alignment horizontal="center" wrapText="1"/>
    </xf>
    <xf numFmtId="42" fontId="9" fillId="11" borderId="11" xfId="46" applyNumberFormat="1" applyFont="1" applyFill="1" applyBorder="1" applyAlignment="1">
      <alignment horizontal="center" wrapText="1"/>
    </xf>
    <xf numFmtId="168" fontId="25" fillId="8" borderId="42" xfId="45" applyNumberFormat="1" applyFont="1" applyFill="1" applyBorder="1" applyAlignment="1">
      <alignment horizontal="center"/>
    </xf>
    <xf numFmtId="168" fontId="25" fillId="2" borderId="42" xfId="45" applyNumberFormat="1" applyFont="1" applyFill="1" applyBorder="1" applyAlignment="1">
      <alignment horizontal="center"/>
    </xf>
    <xf numFmtId="168" fontId="25" fillId="9" borderId="42" xfId="45" applyNumberFormat="1" applyFont="1" applyFill="1" applyBorder="1" applyAlignment="1">
      <alignment horizontal="center"/>
    </xf>
    <xf numFmtId="0" fontId="12" fillId="0" borderId="0" xfId="9" applyFont="1" applyAlignment="1">
      <alignment horizontal="center"/>
    </xf>
    <xf numFmtId="164" fontId="12" fillId="0" borderId="0" xfId="47" applyNumberFormat="1" applyFont="1" applyAlignment="1">
      <alignment horizontal="center"/>
    </xf>
    <xf numFmtId="164" fontId="48" fillId="0" borderId="53" xfId="5" applyNumberFormat="1" applyFont="1" applyFill="1" applyBorder="1" applyAlignment="1" applyProtection="1">
      <alignment vertical="center"/>
    </xf>
    <xf numFmtId="0" fontId="48" fillId="0" borderId="53" xfId="5" applyNumberFormat="1" applyFont="1" applyFill="1" applyBorder="1" applyAlignment="1" applyProtection="1">
      <alignment vertical="center" wrapText="1"/>
    </xf>
    <xf numFmtId="164" fontId="48" fillId="0" borderId="53" xfId="5" applyNumberFormat="1" applyFont="1" applyFill="1" applyBorder="1" applyAlignment="1" applyProtection="1">
      <alignment horizontal="right" vertical="center" wrapText="1"/>
    </xf>
    <xf numFmtId="164" fontId="3" fillId="0" borderId="0" xfId="5" applyNumberFormat="1" applyFont="1"/>
    <xf numFmtId="164" fontId="25" fillId="0" borderId="0" xfId="47" applyNumberFormat="1" applyFont="1"/>
    <xf numFmtId="164" fontId="49" fillId="0" borderId="0" xfId="9" applyNumberFormat="1" applyFont="1"/>
    <xf numFmtId="164" fontId="25" fillId="0" borderId="0" xfId="5" applyNumberFormat="1" applyFont="1"/>
    <xf numFmtId="168" fontId="26" fillId="16" borderId="0" xfId="9" applyNumberFormat="1" applyFont="1" applyFill="1"/>
    <xf numFmtId="169" fontId="33" fillId="0" borderId="0" xfId="9" applyNumberFormat="1" applyFont="1" applyAlignment="1">
      <alignment horizontal="center"/>
    </xf>
    <xf numFmtId="2" fontId="26" fillId="15" borderId="45" xfId="9" applyNumberFormat="1" applyFont="1" applyFill="1" applyBorder="1"/>
    <xf numFmtId="2" fontId="26" fillId="15" borderId="32" xfId="9" applyNumberFormat="1" applyFont="1" applyFill="1" applyBorder="1"/>
    <xf numFmtId="169" fontId="26" fillId="0" borderId="32" xfId="9" applyNumberFormat="1" applyFont="1" applyBorder="1"/>
    <xf numFmtId="1" fontId="26" fillId="0" borderId="45" xfId="9" applyNumberFormat="1" applyFont="1" applyBorder="1"/>
    <xf numFmtId="7" fontId="1" fillId="0" borderId="0" xfId="1" applyNumberFormat="1" applyFont="1" applyBorder="1"/>
    <xf numFmtId="7" fontId="1" fillId="0" borderId="31" xfId="1" applyNumberFormat="1" applyFont="1" applyFill="1" applyBorder="1"/>
    <xf numFmtId="6" fontId="10" fillId="0" borderId="31" xfId="1" applyNumberFormat="1" applyFont="1" applyFill="1" applyBorder="1"/>
    <xf numFmtId="6" fontId="13" fillId="0" borderId="31" xfId="1" applyNumberFormat="1" applyFont="1" applyFill="1" applyBorder="1"/>
    <xf numFmtId="43" fontId="0" fillId="0" borderId="1" xfId="0" applyNumberFormat="1" applyFont="1" applyBorder="1"/>
    <xf numFmtId="8" fontId="10" fillId="0" borderId="54" xfId="1" applyNumberFormat="1" applyFont="1" applyBorder="1"/>
    <xf numFmtId="8" fontId="10" fillId="0" borderId="54" xfId="0" applyNumberFormat="1" applyFont="1" applyBorder="1"/>
    <xf numFmtId="0" fontId="50" fillId="0" borderId="0" xfId="0" applyFont="1" applyFill="1" applyAlignment="1">
      <alignment horizontal="left" wrapText="1"/>
    </xf>
    <xf numFmtId="0" fontId="51" fillId="0" borderId="0" xfId="0" applyFont="1" applyFill="1" applyProtection="1">
      <protection locked="0"/>
    </xf>
    <xf numFmtId="0" fontId="0" fillId="0" borderId="54" xfId="0" applyFont="1" applyBorder="1"/>
    <xf numFmtId="0" fontId="0" fillId="0" borderId="54" xfId="0" applyFont="1" applyFill="1" applyBorder="1"/>
    <xf numFmtId="0" fontId="0" fillId="0" borderId="54" xfId="0" applyFont="1" applyFill="1" applyBorder="1" applyProtection="1">
      <protection locked="0"/>
    </xf>
    <xf numFmtId="0" fontId="27" fillId="0" borderId="54" xfId="0" quotePrefix="1" applyFont="1" applyFill="1" applyBorder="1" applyAlignment="1">
      <alignment horizontal="left" wrapText="1"/>
    </xf>
    <xf numFmtId="5" fontId="10" fillId="13" borderId="31" xfId="1" applyNumberFormat="1" applyFont="1" applyFill="1" applyBorder="1"/>
    <xf numFmtId="5" fontId="13" fillId="13" borderId="31" xfId="1" applyNumberFormat="1" applyFont="1" applyFill="1" applyBorder="1"/>
    <xf numFmtId="5" fontId="13" fillId="13" borderId="31" xfId="0" applyNumberFormat="1" applyFont="1" applyFill="1" applyBorder="1"/>
    <xf numFmtId="43" fontId="0" fillId="0" borderId="1" xfId="1" applyNumberFormat="1" applyFont="1" applyBorder="1"/>
    <xf numFmtId="0" fontId="13" fillId="0" borderId="1" xfId="0" applyFont="1" applyBorder="1"/>
    <xf numFmtId="0" fontId="27" fillId="0" borderId="31" xfId="0" quotePrefix="1" applyFont="1" applyFill="1" applyBorder="1" applyAlignment="1">
      <alignment horizontal="centerContinuous" wrapText="1"/>
    </xf>
    <xf numFmtId="0" fontId="0" fillId="0" borderId="33" xfId="0" applyFont="1" applyFill="1" applyBorder="1" applyAlignment="1" applyProtection="1">
      <alignment horizontal="centerContinuous"/>
      <protection locked="0"/>
    </xf>
    <xf numFmtId="0" fontId="14" fillId="0" borderId="0" xfId="0" applyFont="1" applyFill="1" applyBorder="1" applyAlignment="1" applyProtection="1">
      <alignment horizontal="center"/>
    </xf>
  </cellXfs>
  <cellStyles count="48">
    <cellStyle name="Comma" xfId="1" builtinId="3"/>
    <cellStyle name="Comma 10" xfId="37" xr:uid="{8221DF66-90B0-4756-8F03-F8581E7D919E}"/>
    <cellStyle name="Comma 2" xfId="5" xr:uid="{00000000-0005-0000-0000-000001000000}"/>
    <cellStyle name="Comma 2 2" xfId="47" xr:uid="{2A2B9BC6-0C6A-48A5-83DC-CD109326E7B0}"/>
    <cellStyle name="Comma 3" xfId="38" xr:uid="{976B8064-858B-494B-9D61-ED6624F60270}"/>
    <cellStyle name="Comma 6" xfId="14" xr:uid="{E435278F-E555-4916-809C-57481507D0CE}"/>
    <cellStyle name="Comma 6 2" xfId="22" xr:uid="{9C128017-4ED2-4C50-A6B2-E24170AAF4FF}"/>
    <cellStyle name="Comma 6 2 2" xfId="29" xr:uid="{E1DFBE6D-E195-4280-A232-1D6052AAB6AC}"/>
    <cellStyle name="Comma 6 2 2 4" xfId="42" xr:uid="{4C2404F4-22FB-4904-A2F2-6770820EAF69}"/>
    <cellStyle name="Comma 7" xfId="18" xr:uid="{650513D1-B94C-4E47-8A53-CED1991A4774}"/>
    <cellStyle name="Currency" xfId="2" builtinId="4"/>
    <cellStyle name="Normal" xfId="0" builtinId="0"/>
    <cellStyle name="Normal 12" xfId="15" xr:uid="{766C52FC-3736-4DE1-9BB6-2D35FD26C555}"/>
    <cellStyle name="Normal 12 2" xfId="23" xr:uid="{A5B64834-D9DB-4754-BD9B-AB7EEF92C685}"/>
    <cellStyle name="Normal 12 2 2" xfId="31" xr:uid="{3B8940F0-D430-4B96-AE52-75AECF648E71}"/>
    <cellStyle name="Normal 12 2 2 4" xfId="45" xr:uid="{636936BB-78A0-4710-947C-BD3C4020C6AC}"/>
    <cellStyle name="Normal 13" xfId="17" xr:uid="{0801DBE4-A579-4A45-B4A5-97FFEE98AF92}"/>
    <cellStyle name="Normal 13 2" xfId="25" xr:uid="{0D042D23-C35B-4D9A-B3CA-9E9A5468194A}"/>
    <cellStyle name="Normal 13 2 2" xfId="32" xr:uid="{2A6AD0E5-E391-46E6-849E-E9B4B26EAEDD}"/>
    <cellStyle name="Normal 13 2 2 5" xfId="46" xr:uid="{2F1BC0C2-FD20-4866-9A38-AC1E44760419}"/>
    <cellStyle name="Normal 14" xfId="10" xr:uid="{1862F376-B224-4B40-B226-00B6638D105C}"/>
    <cellStyle name="Normal 14 3" xfId="26" xr:uid="{62F66593-EF97-4CEA-9A9E-CD070974B5DB}"/>
    <cellStyle name="Normal 15" xfId="16" xr:uid="{76957F20-AD03-49C5-8A5C-DDDB4B89D756}"/>
    <cellStyle name="Normal 15 2" xfId="24" xr:uid="{18A11CAE-6E9A-4570-B1CA-0F6EB4E533FA}"/>
    <cellStyle name="Normal 15 2 2" xfId="30" xr:uid="{FDC6D488-0570-4567-8A2F-0B9F6A083C45}"/>
    <cellStyle name="Normal 15 2 2 4" xfId="44" xr:uid="{211536FB-2A87-4CC8-A727-DEE0647D12EE}"/>
    <cellStyle name="Normal 16" xfId="12" xr:uid="{0E427BD6-91BC-46B5-8058-27AF60525807}"/>
    <cellStyle name="Normal 16 2" xfId="20" xr:uid="{FEF65497-3D87-49A9-A9F0-C76D3A114F22}"/>
    <cellStyle name="Normal 16 2 2" xfId="28" xr:uid="{2BFC8762-DB62-4094-85D6-B3A9CA64F47C}"/>
    <cellStyle name="Normal 16 2 2 4" xfId="41" xr:uid="{A7A1909B-2331-4008-A27D-FF623722C0E0}"/>
    <cellStyle name="Normal 17" xfId="13" xr:uid="{BC756CA4-82C3-4E3E-B9CB-E430BA870A0A}"/>
    <cellStyle name="Normal 17 2" xfId="21" xr:uid="{0AD76884-0FBE-485C-8692-C4569E8211F8}"/>
    <cellStyle name="Normal 17 2 2" xfId="27" xr:uid="{91C1B1E7-4D13-487C-AC31-A12CDC15EF31}"/>
    <cellStyle name="Normal 17 2 2 4" xfId="40" xr:uid="{71FE73EF-2CA3-4756-A2E8-4889A30A90EB}"/>
    <cellStyle name="Normal 18" xfId="33" xr:uid="{F87AD110-32D9-4538-A2FC-A23C5C56967D}"/>
    <cellStyle name="Normal 18 2" xfId="34" xr:uid="{C9E52403-3CA6-4651-9CBE-0FD5B1884B86}"/>
    <cellStyle name="Normal 2" xfId="4" xr:uid="{00000000-0005-0000-0000-000005000000}"/>
    <cellStyle name="Normal 2 2" xfId="7" xr:uid="{00000000-0005-0000-0000-000001000000}"/>
    <cellStyle name="Normal 2 3" xfId="9" xr:uid="{35A212B9-6B32-4522-A434-5B62762F88C4}"/>
    <cellStyle name="Normal 20" xfId="36" xr:uid="{8BAC0691-2862-494E-83AD-3FD0457BE31E}"/>
    <cellStyle name="Normal 20 3" xfId="43" xr:uid="{9023CF1C-80EE-4DB4-B9FE-1E90A8FEA656}"/>
    <cellStyle name="Normal 3" xfId="8" xr:uid="{3649E2E0-5C72-4D5D-99B2-CC378650735E}"/>
    <cellStyle name="Normal 4" xfId="35" xr:uid="{6DC2122E-79A8-415B-8C5C-454854DA7992}"/>
    <cellStyle name="Normal_DistrictList" xfId="19" xr:uid="{849AF075-A001-40D6-A835-76809FF52193}"/>
    <cellStyle name="Normal_Sheet1" xfId="6" xr:uid="{00000000-0005-0000-0000-000002000000}"/>
    <cellStyle name="Normal_Sheet1_1" xfId="39" xr:uid="{FE6EA5D2-F855-4ACE-8D90-56FE7C4B282A}"/>
    <cellStyle name="Percent" xfId="3" builtinId="5"/>
    <cellStyle name="Percent 2" xfId="11" xr:uid="{815D0620-3029-4AB2-B22C-548012BE0EB0}"/>
  </cellStyles>
  <dxfs count="0"/>
  <tableStyles count="0" defaultTableStyle="TableStyleMedium2" defaultPivotStyle="PivotStyleLight16"/>
  <colors>
    <mruColors>
      <color rgb="FFC7B784"/>
      <color rgb="FFC7C784"/>
      <color rgb="FF802629"/>
      <color rgb="FFC0504D"/>
      <color rgb="FFFFFFCC"/>
      <color rgb="FFFCD6B6"/>
      <color rgb="FFB4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332312</xdr:colOff>
      <xdr:row>5</xdr:row>
      <xdr:rowOff>206376</xdr:rowOff>
    </xdr:from>
    <xdr:to>
      <xdr:col>4</xdr:col>
      <xdr:colOff>1100667</xdr:colOff>
      <xdr:row>6</xdr:row>
      <xdr:rowOff>201084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90187" y="1111251"/>
          <a:ext cx="3130555" cy="204258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estimated count of students: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 SAFE Fall </a:t>
          </a:r>
          <a:r>
            <a:rPr lang="en-US" sz="1000" b="0" u="sng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2026</a:t>
          </a:r>
        </a:p>
      </xdr:txBody>
    </xdr:sp>
    <xdr:clientData/>
  </xdr:twoCellAnchor>
  <xdr:twoCellAnchor>
    <xdr:from>
      <xdr:col>5</xdr:col>
      <xdr:colOff>338668</xdr:colOff>
      <xdr:row>39</xdr:row>
      <xdr:rowOff>29097</xdr:rowOff>
    </xdr:from>
    <xdr:to>
      <xdr:col>6</xdr:col>
      <xdr:colOff>1278466</xdr:colOff>
      <xdr:row>41</xdr:row>
      <xdr:rowOff>169331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3E07DA2-187C-4CAC-BB78-3C2589A08D3D}"/>
            </a:ext>
          </a:extLst>
        </xdr:cNvPr>
        <xdr:cNvSpPr txBox="1"/>
      </xdr:nvSpPr>
      <xdr:spPr>
        <a:xfrm>
          <a:off x="10049935" y="7310430"/>
          <a:ext cx="2336798" cy="580501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 u="none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projected taxable valuation growth percentage for Pay 2027.</a:t>
          </a:r>
          <a:br>
            <a:rPr lang="en-US" sz="1000" b="0" u="none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</a:br>
          <a:r>
            <a:rPr lang="en-US" sz="1000" b="0" u="none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Consider consulting with County Auditor.</a:t>
          </a:r>
          <a:endParaRPr lang="en-US" sz="1000" b="0" baseline="0">
            <a:solidFill>
              <a:schemeClr val="tx1"/>
            </a:solidFill>
            <a:latin typeface="+mn-lt"/>
          </a:endParaRPr>
        </a:p>
        <a:p>
          <a:endParaRPr lang="en-US" sz="11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656162</xdr:colOff>
      <xdr:row>0</xdr:row>
      <xdr:rowOff>6356</xdr:rowOff>
    </xdr:from>
    <xdr:to>
      <xdr:col>6</xdr:col>
      <xdr:colOff>973666</xdr:colOff>
      <xdr:row>3</xdr:row>
      <xdr:rowOff>131677</xdr:rowOff>
    </xdr:to>
    <xdr:pic>
      <xdr:nvPicPr>
        <xdr:cNvPr id="17" name="Picture 16" descr="South Dakota Department of Education">
          <a:extLst>
            <a:ext uri="{FF2B5EF4-FFF2-40B4-BE49-F238E27FC236}">
              <a16:creationId xmlns:a16="http://schemas.microsoft.com/office/drawing/2014/main" id="{BBE51A79-9E30-47CE-AC85-984C7BE9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5162" y="6356"/>
          <a:ext cx="2933705" cy="606228"/>
        </a:xfrm>
        <a:prstGeom prst="rect">
          <a:avLst/>
        </a:prstGeom>
      </xdr:spPr>
    </xdr:pic>
    <xdr:clientData/>
  </xdr:twoCellAnchor>
  <xdr:twoCellAnchor>
    <xdr:from>
      <xdr:col>2</xdr:col>
      <xdr:colOff>22224</xdr:colOff>
      <xdr:row>7</xdr:row>
      <xdr:rowOff>61382</xdr:rowOff>
    </xdr:from>
    <xdr:to>
      <xdr:col>2</xdr:col>
      <xdr:colOff>309826</xdr:colOff>
      <xdr:row>7</xdr:row>
      <xdr:rowOff>163830</xdr:rowOff>
    </xdr:to>
    <xdr:sp macro="" textlink="">
      <xdr:nvSpPr>
        <xdr:cNvPr id="14" name="Down Arrow 9" descr="Left Arrow">
          <a:extLst>
            <a:ext uri="{FF2B5EF4-FFF2-40B4-BE49-F238E27FC236}">
              <a16:creationId xmlns:a16="http://schemas.microsoft.com/office/drawing/2014/main" id="{2A882743-1F80-493A-8F8A-9248AB6B2B03}"/>
            </a:ext>
          </a:extLst>
        </xdr:cNvPr>
        <xdr:cNvSpPr/>
      </xdr:nvSpPr>
      <xdr:spPr>
        <a:xfrm rot="5400000">
          <a:off x="5972676" y="1959530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317500</xdr:colOff>
      <xdr:row>7</xdr:row>
      <xdr:rowOff>10584</xdr:rowOff>
    </xdr:from>
    <xdr:to>
      <xdr:col>5</xdr:col>
      <xdr:colOff>592667</xdr:colOff>
      <xdr:row>8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214AD7F-3986-4E2F-9EFA-AC7840601FC1}"/>
            </a:ext>
          </a:extLst>
        </xdr:cNvPr>
        <xdr:cNvSpPr txBox="1"/>
      </xdr:nvSpPr>
      <xdr:spPr>
        <a:xfrm>
          <a:off x="6731000" y="1799167"/>
          <a:ext cx="3862917" cy="222250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Applies only to </a:t>
          </a:r>
          <a:r>
            <a:rPr lang="en-US" sz="1000" b="1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Plankinton</a:t>
          </a:r>
          <a:r>
            <a:rPr lang="en-US" sz="1000" b="1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&amp; Parkston 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- </a:t>
          </a:r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SDCL 13-13-10.1 (2C)</a:t>
          </a:r>
          <a:endParaRPr lang="en-US" sz="1000" b="0" u="sng" baseline="0">
            <a:solidFill>
              <a:schemeClr val="tx1"/>
            </a:solidFill>
            <a:latin typeface="+mn-lt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5</xdr:col>
      <xdr:colOff>42332</xdr:colOff>
      <xdr:row>40</xdr:row>
      <xdr:rowOff>21166</xdr:rowOff>
    </xdr:from>
    <xdr:to>
      <xdr:col>5</xdr:col>
      <xdr:colOff>329934</xdr:colOff>
      <xdr:row>40</xdr:row>
      <xdr:rowOff>189966</xdr:rowOff>
    </xdr:to>
    <xdr:sp macro="" textlink="">
      <xdr:nvSpPr>
        <xdr:cNvPr id="22" name="Down Arrow 9" descr="Left Arrow">
          <a:extLst>
            <a:ext uri="{FF2B5EF4-FFF2-40B4-BE49-F238E27FC236}">
              <a16:creationId xmlns:a16="http://schemas.microsoft.com/office/drawing/2014/main" id="{132033CE-93AD-4646-8A31-1CB1058ED27C}"/>
            </a:ext>
          </a:extLst>
        </xdr:cNvPr>
        <xdr:cNvSpPr/>
      </xdr:nvSpPr>
      <xdr:spPr>
        <a:xfrm rot="5400000">
          <a:off x="10102983" y="7602932"/>
          <a:ext cx="168800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333375</xdr:colOff>
      <xdr:row>30</xdr:row>
      <xdr:rowOff>47625</xdr:rowOff>
    </xdr:from>
    <xdr:to>
      <xdr:col>6</xdr:col>
      <xdr:colOff>174630</xdr:colOff>
      <xdr:row>32</xdr:row>
      <xdr:rowOff>68792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B39A043-6ACE-49F6-B5C3-32D3DDEEDB0F}"/>
            </a:ext>
          </a:extLst>
        </xdr:cNvPr>
        <xdr:cNvSpPr txBox="1"/>
      </xdr:nvSpPr>
      <xdr:spPr>
        <a:xfrm>
          <a:off x="6191250" y="1381125"/>
          <a:ext cx="4737105" cy="459317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count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of Alternative Instruction (home school) students that participated in HS interscholastic activities sanctioned SDHSAA (2025-2026 school year)</a:t>
          </a:r>
          <a:endParaRPr lang="en-US" sz="1000" b="0" u="sng" baseline="0">
            <a:solidFill>
              <a:schemeClr val="tx1"/>
            </a:solidFill>
            <a:latin typeface="+mn-lt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2</xdr:col>
      <xdr:colOff>28575</xdr:colOff>
      <xdr:row>30</xdr:row>
      <xdr:rowOff>66675</xdr:rowOff>
    </xdr:from>
    <xdr:to>
      <xdr:col>2</xdr:col>
      <xdr:colOff>316177</xdr:colOff>
      <xdr:row>30</xdr:row>
      <xdr:rowOff>169123</xdr:rowOff>
    </xdr:to>
    <xdr:sp macro="" textlink="">
      <xdr:nvSpPr>
        <xdr:cNvPr id="5" name="Down Arrow 9" descr="Left Arrow">
          <a:extLst>
            <a:ext uri="{FF2B5EF4-FFF2-40B4-BE49-F238E27FC236}">
              <a16:creationId xmlns:a16="http://schemas.microsoft.com/office/drawing/2014/main" id="{A787F0E6-FCA9-4F97-9542-631AE41A35DC}"/>
            </a:ext>
          </a:extLst>
        </xdr:cNvPr>
        <xdr:cNvSpPr/>
      </xdr:nvSpPr>
      <xdr:spPr>
        <a:xfrm rot="5400000">
          <a:off x="5979027" y="1307598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6</xdr:row>
      <xdr:rowOff>28575</xdr:rowOff>
    </xdr:from>
    <xdr:to>
      <xdr:col>2</xdr:col>
      <xdr:colOff>316177</xdr:colOff>
      <xdr:row>6</xdr:row>
      <xdr:rowOff>131023</xdr:rowOff>
    </xdr:to>
    <xdr:sp macro="" textlink="">
      <xdr:nvSpPr>
        <xdr:cNvPr id="6" name="Down Arrow 9" descr="Left Arrow">
          <a:extLst>
            <a:ext uri="{FF2B5EF4-FFF2-40B4-BE49-F238E27FC236}">
              <a16:creationId xmlns:a16="http://schemas.microsoft.com/office/drawing/2014/main" id="{88A8D429-E090-469F-915A-139381C94FF1}"/>
            </a:ext>
          </a:extLst>
        </xdr:cNvPr>
        <xdr:cNvSpPr/>
      </xdr:nvSpPr>
      <xdr:spPr>
        <a:xfrm rot="5400000">
          <a:off x="5979027" y="1050423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12</xdr:row>
      <xdr:rowOff>47625</xdr:rowOff>
    </xdr:from>
    <xdr:to>
      <xdr:col>2</xdr:col>
      <xdr:colOff>316177</xdr:colOff>
      <xdr:row>12</xdr:row>
      <xdr:rowOff>150073</xdr:rowOff>
    </xdr:to>
    <xdr:sp macro="" textlink="">
      <xdr:nvSpPr>
        <xdr:cNvPr id="7" name="Down Arrow 9" descr="Left Arrow">
          <a:extLst>
            <a:ext uri="{FF2B5EF4-FFF2-40B4-BE49-F238E27FC236}">
              <a16:creationId xmlns:a16="http://schemas.microsoft.com/office/drawing/2014/main" id="{3D9C215B-6ED6-46F8-A01F-01978BAFB8A8}"/>
            </a:ext>
          </a:extLst>
        </xdr:cNvPr>
        <xdr:cNvSpPr/>
      </xdr:nvSpPr>
      <xdr:spPr>
        <a:xfrm rot="5400000">
          <a:off x="5979027" y="2898273"/>
          <a:ext cx="102448" cy="287602"/>
        </a:xfrm>
        <a:prstGeom prst="downArrow">
          <a:avLst/>
        </a:prstGeom>
        <a:solidFill>
          <a:srgbClr val="C7B784"/>
        </a:solidFill>
        <a:ln>
          <a:solidFill>
            <a:srgbClr val="C7B7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333375</xdr:colOff>
      <xdr:row>12</xdr:row>
      <xdr:rowOff>0</xdr:rowOff>
    </xdr:from>
    <xdr:to>
      <xdr:col>5</xdr:col>
      <xdr:colOff>629708</xdr:colOff>
      <xdr:row>14</xdr:row>
      <xdr:rowOff>31749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216C321-313B-4F01-BABF-2042010BC291}"/>
            </a:ext>
          </a:extLst>
        </xdr:cNvPr>
        <xdr:cNvSpPr txBox="1"/>
      </xdr:nvSpPr>
      <xdr:spPr>
        <a:xfrm>
          <a:off x="6191250" y="2943225"/>
          <a:ext cx="3839633" cy="469899"/>
        </a:xfrm>
        <a:prstGeom prst="rect">
          <a:avLst/>
        </a:prstGeom>
        <a:solidFill>
          <a:srgbClr val="C7B78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000" b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Enter projected count</a:t>
          </a:r>
          <a:r>
            <a:rPr lang="en-US" sz="1000" b="0" baseline="0">
              <a:solidFill>
                <a:schemeClr val="tx1"/>
              </a:solidFill>
              <a:latin typeface="+mn-lt"/>
              <a:ea typeface="Ebrima" panose="02000000000000000000" pitchFamily="2" charset="0"/>
              <a:cs typeface="Ebrima" panose="02000000000000000000" pitchFamily="2" charset="0"/>
            </a:rPr>
            <a:t> of LEP students scoring (composite) less than 4.0 on Language Acquisition Assessment (taken 2/2026)</a:t>
          </a:r>
          <a:endParaRPr lang="en-US" sz="1000" b="0" u="sng" baseline="0">
            <a:solidFill>
              <a:schemeClr val="tx1"/>
            </a:solidFill>
            <a:latin typeface="+mn-lt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209550</xdr:colOff>
      <xdr:row>0</xdr:row>
      <xdr:rowOff>0</xdr:rowOff>
    </xdr:from>
    <xdr:ext cx="1956404" cy="43395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A4A1E2C9-178F-47E8-98D9-752A54495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425" y="0"/>
          <a:ext cx="1956404" cy="43395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114301</xdr:colOff>
      <xdr:row>0</xdr:row>
      <xdr:rowOff>28576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9342C5BE-5548-4E56-9DE5-539E1C60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4701" y="28576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7B784"/>
  </sheetPr>
  <dimension ref="A1:G54"/>
  <sheetViews>
    <sheetView showGridLines="0" tabSelected="1" zoomScaleNormal="100" zoomScalePageLayoutView="90" workbookViewId="0">
      <pane ySplit="4" topLeftCell="A5" activePane="bottomLeft" state="frozen"/>
      <selection pane="bottomLeft" activeCell="A4" sqref="A4"/>
    </sheetView>
  </sheetViews>
  <sheetFormatPr defaultColWidth="8.85546875" defaultRowHeight="12.75" x14ac:dyDescent="0.2"/>
  <cols>
    <col min="1" max="1" width="68" style="14" customWidth="1"/>
    <col min="2" max="2" width="19.85546875" style="16" customWidth="1"/>
    <col min="3" max="3" width="17.7109375" style="14" customWidth="1"/>
    <col min="4" max="4" width="17.7109375" style="23" customWidth="1"/>
    <col min="5" max="5" width="17.7109375" style="14" customWidth="1"/>
    <col min="6" max="6" width="20.28515625" style="14" customWidth="1"/>
    <col min="7" max="7" width="19.7109375" style="14" customWidth="1"/>
    <col min="8" max="8" width="1.5703125" style="14" customWidth="1"/>
    <col min="9" max="16384" width="8.85546875" style="14"/>
  </cols>
  <sheetData>
    <row r="1" spans="1:7" s="8" customFormat="1" ht="22.9" customHeight="1" x14ac:dyDescent="0.2">
      <c r="A1" s="69" t="s">
        <v>456</v>
      </c>
      <c r="B1" s="7"/>
      <c r="C1" s="7"/>
    </row>
    <row r="2" spans="1:7" s="8" customFormat="1" ht="12" customHeight="1" x14ac:dyDescent="0.2">
      <c r="A2" s="9" t="s">
        <v>466</v>
      </c>
      <c r="B2" s="10"/>
      <c r="C2" s="11"/>
      <c r="D2" s="12"/>
    </row>
    <row r="3" spans="1:7" s="8" customFormat="1" ht="3.75" customHeight="1" thickBot="1" x14ac:dyDescent="0.25">
      <c r="A3" s="11"/>
      <c r="B3" s="13"/>
      <c r="C3" s="11"/>
      <c r="D3" s="12"/>
    </row>
    <row r="4" spans="1:7" s="62" customFormat="1" ht="27.6" customHeight="1" thickTop="1" thickBot="1" x14ac:dyDescent="0.55000000000000004">
      <c r="A4" s="70" t="s">
        <v>141</v>
      </c>
      <c r="C4" s="63">
        <f>INDEX(DistrictList!$A$2:$A$148,MATCH($A$4,DistrictList!$B$2:$B$148,0),0)</f>
        <v>6001</v>
      </c>
    </row>
    <row r="5" spans="1:7" ht="6" customHeight="1" thickTop="1" x14ac:dyDescent="0.2">
      <c r="B5" s="14"/>
      <c r="D5" s="14"/>
      <c r="G5" s="14" t="s">
        <v>138</v>
      </c>
    </row>
    <row r="6" spans="1:7" ht="16.899999999999999" customHeight="1" thickBot="1" x14ac:dyDescent="0.3">
      <c r="A6" s="64" t="s">
        <v>2</v>
      </c>
      <c r="B6" s="15"/>
      <c r="D6" s="14"/>
    </row>
    <row r="7" spans="1:7" ht="17.45" customHeight="1" thickBot="1" x14ac:dyDescent="0.3">
      <c r="A7" s="65" t="s">
        <v>446</v>
      </c>
      <c r="B7" s="218"/>
      <c r="D7" s="14"/>
      <c r="G7" s="16"/>
    </row>
    <row r="8" spans="1:7" ht="17.45" customHeight="1" thickBot="1" x14ac:dyDescent="0.3">
      <c r="A8" s="66" t="s">
        <v>373</v>
      </c>
      <c r="B8" s="218"/>
      <c r="D8" s="14"/>
      <c r="G8" s="16"/>
    </row>
    <row r="9" spans="1:7" ht="17.45" customHeight="1" x14ac:dyDescent="0.25">
      <c r="A9" s="67" t="s">
        <v>391</v>
      </c>
      <c r="B9" s="19">
        <f>IF(($B$7)&lt;200,12,IF(($B$7)&gt;600,15,((($B$7)-$B$8)*0.0075)+10.5))</f>
        <v>12</v>
      </c>
      <c r="D9" s="14"/>
      <c r="G9" s="16"/>
    </row>
    <row r="10" spans="1:7" ht="17.45" customHeight="1" x14ac:dyDescent="0.25">
      <c r="A10" s="67" t="s">
        <v>3</v>
      </c>
      <c r="B10" s="20">
        <f>(B7)/B9</f>
        <v>0</v>
      </c>
      <c r="D10" s="14"/>
    </row>
    <row r="11" spans="1:7" ht="6" customHeight="1" x14ac:dyDescent="0.25">
      <c r="A11" s="75"/>
      <c r="B11" s="21"/>
      <c r="D11" s="14"/>
    </row>
    <row r="12" spans="1:7" ht="17.45" customHeight="1" thickBot="1" x14ac:dyDescent="0.3">
      <c r="A12" s="64" t="s">
        <v>0</v>
      </c>
      <c r="B12" s="22"/>
    </row>
    <row r="13" spans="1:7" ht="17.45" customHeight="1" thickBot="1" x14ac:dyDescent="0.3">
      <c r="A13" s="65" t="s">
        <v>392</v>
      </c>
      <c r="B13" s="234"/>
    </row>
    <row r="14" spans="1:7" ht="17.45" customHeight="1" x14ac:dyDescent="0.25">
      <c r="A14" s="67" t="s">
        <v>393</v>
      </c>
      <c r="B14" s="24">
        <v>0.25</v>
      </c>
    </row>
    <row r="15" spans="1:7" ht="17.45" customHeight="1" x14ac:dyDescent="0.25">
      <c r="A15" s="65" t="s">
        <v>1</v>
      </c>
      <c r="B15" s="18">
        <f>IF(B13=0,0,B13*B14)</f>
        <v>0</v>
      </c>
      <c r="G15" s="25"/>
    </row>
    <row r="16" spans="1:7" ht="17.45" customHeight="1" x14ac:dyDescent="0.25">
      <c r="A16" s="236" t="s">
        <v>359</v>
      </c>
      <c r="B16" s="237">
        <f>B15/B9</f>
        <v>0</v>
      </c>
    </row>
    <row r="17" spans="1:7" ht="6" customHeight="1" x14ac:dyDescent="0.25">
      <c r="A17" s="76"/>
      <c r="B17" s="26"/>
      <c r="D17" s="14"/>
    </row>
    <row r="18" spans="1:7" ht="17.45" customHeight="1" x14ac:dyDescent="0.25">
      <c r="A18" s="240" t="s">
        <v>308</v>
      </c>
      <c r="B18" s="27">
        <f>B10+B16</f>
        <v>0</v>
      </c>
      <c r="D18" s="14"/>
    </row>
    <row r="19" spans="1:7" ht="6" customHeight="1" x14ac:dyDescent="0.25">
      <c r="A19" s="76"/>
      <c r="B19" s="26"/>
      <c r="D19" s="14"/>
    </row>
    <row r="20" spans="1:7" ht="17.45" customHeight="1" x14ac:dyDescent="0.25">
      <c r="A20" s="68" t="s">
        <v>4</v>
      </c>
      <c r="B20" s="28"/>
      <c r="D20" s="14"/>
    </row>
    <row r="21" spans="1:7" ht="17.45" customHeight="1" x14ac:dyDescent="0.25">
      <c r="A21" s="65" t="s">
        <v>8</v>
      </c>
      <c r="B21" s="29">
        <v>62821.19</v>
      </c>
      <c r="D21" s="14"/>
      <c r="F21" s="30"/>
    </row>
    <row r="22" spans="1:7" ht="17.45" customHeight="1" x14ac:dyDescent="0.25">
      <c r="A22" s="67" t="s">
        <v>394</v>
      </c>
      <c r="B22" s="31">
        <v>0.28999999999999998</v>
      </c>
      <c r="D22" s="14"/>
    </row>
    <row r="23" spans="1:7" ht="17.45" customHeight="1" x14ac:dyDescent="0.25">
      <c r="A23" s="65" t="s">
        <v>5</v>
      </c>
      <c r="B23" s="32">
        <f>B21*(1+B22)</f>
        <v>81039.335100000011</v>
      </c>
    </row>
    <row r="24" spans="1:7" ht="17.45" customHeight="1" thickBot="1" x14ac:dyDescent="0.3">
      <c r="A24" s="131" t="s">
        <v>6</v>
      </c>
      <c r="B24" s="132">
        <f>B23*B18</f>
        <v>0</v>
      </c>
      <c r="C24" s="33"/>
      <c r="D24" s="300"/>
      <c r="E24" s="300"/>
      <c r="F24" s="300"/>
      <c r="G24" s="300"/>
    </row>
    <row r="25" spans="1:7" ht="6" customHeight="1" thickTop="1" x14ac:dyDescent="0.25">
      <c r="A25" s="76"/>
      <c r="B25" s="26"/>
      <c r="C25" s="34"/>
      <c r="D25" s="33"/>
      <c r="E25" s="33"/>
      <c r="F25" s="33"/>
      <c r="G25" s="33"/>
    </row>
    <row r="26" spans="1:7" ht="17.45" customHeight="1" x14ac:dyDescent="0.25">
      <c r="A26" s="68" t="s">
        <v>440</v>
      </c>
      <c r="B26" s="28"/>
      <c r="C26" s="35"/>
      <c r="D26" s="36"/>
      <c r="E26" s="36"/>
      <c r="F26" s="36"/>
      <c r="G26" s="36"/>
    </row>
    <row r="27" spans="1:7" ht="17.45" customHeight="1" x14ac:dyDescent="0.25">
      <c r="A27" s="65" t="s">
        <v>442</v>
      </c>
      <c r="B27" s="244">
        <v>0.38800000000000001</v>
      </c>
      <c r="C27" s="37"/>
      <c r="D27" s="38"/>
      <c r="E27" s="38"/>
      <c r="F27" s="38"/>
      <c r="G27" s="39"/>
    </row>
    <row r="28" spans="1:7" ht="17.45" customHeight="1" thickBot="1" x14ac:dyDescent="0.3">
      <c r="A28" s="238" t="s">
        <v>441</v>
      </c>
      <c r="B28" s="239">
        <f>B24*B27</f>
        <v>0</v>
      </c>
      <c r="C28" s="35"/>
      <c r="D28" s="36"/>
      <c r="E28" s="36"/>
      <c r="F28" s="36"/>
      <c r="G28" s="36"/>
    </row>
    <row r="29" spans="1:7" ht="6" customHeight="1" thickTop="1" x14ac:dyDescent="0.25">
      <c r="A29" s="77"/>
      <c r="B29" s="40"/>
      <c r="C29" s="35"/>
      <c r="D29" s="41"/>
      <c r="E29" s="41"/>
      <c r="F29" s="41"/>
      <c r="G29" s="35"/>
    </row>
    <row r="30" spans="1:7" ht="17.45" customHeight="1" thickBot="1" x14ac:dyDescent="0.3">
      <c r="A30" s="68" t="s">
        <v>443</v>
      </c>
      <c r="B30" s="28"/>
      <c r="C30" s="35"/>
      <c r="D30" s="36"/>
      <c r="E30" s="36"/>
      <c r="F30" s="36"/>
      <c r="G30" s="36"/>
    </row>
    <row r="31" spans="1:7" ht="17.45" customHeight="1" thickBot="1" x14ac:dyDescent="0.3">
      <c r="A31" s="65" t="s">
        <v>389</v>
      </c>
      <c r="B31" s="242"/>
      <c r="D31" s="14"/>
      <c r="G31" s="16"/>
    </row>
    <row r="32" spans="1:7" ht="17.45" customHeight="1" x14ac:dyDescent="0.25">
      <c r="A32" s="65" t="s">
        <v>390</v>
      </c>
      <c r="B32" s="17">
        <v>0.1</v>
      </c>
      <c r="D32" s="14"/>
      <c r="G32" s="16"/>
    </row>
    <row r="33" spans="1:7" ht="17.45" customHeight="1" x14ac:dyDescent="0.25">
      <c r="A33" s="65" t="s">
        <v>444</v>
      </c>
      <c r="B33" s="18">
        <f>IF(B31=0,0,B31*B32)</f>
        <v>0</v>
      </c>
      <c r="D33" s="14"/>
      <c r="G33" s="16"/>
    </row>
    <row r="34" spans="1:7" ht="17.45" customHeight="1" thickBot="1" x14ac:dyDescent="0.3">
      <c r="A34" s="241" t="s">
        <v>484</v>
      </c>
      <c r="B34" s="239">
        <f>B33*7497.76</f>
        <v>0</v>
      </c>
      <c r="D34" s="14"/>
      <c r="G34" s="16"/>
    </row>
    <row r="35" spans="1:7" ht="6" customHeight="1" thickTop="1" thickBot="1" x14ac:dyDescent="0.3">
      <c r="A35" s="75"/>
      <c r="B35" s="235"/>
      <c r="D35" s="14"/>
      <c r="G35" s="16"/>
    </row>
    <row r="36" spans="1:7" ht="22.15" customHeight="1" thickTop="1" thickBot="1" x14ac:dyDescent="0.4">
      <c r="A36" s="219" t="s">
        <v>309</v>
      </c>
      <c r="B36" s="243">
        <f>B24+B28+B34</f>
        <v>0</v>
      </c>
      <c r="C36" s="35"/>
      <c r="D36" s="36"/>
      <c r="E36" s="36"/>
      <c r="F36" s="36"/>
      <c r="G36" s="42"/>
    </row>
    <row r="37" spans="1:7" s="8" customFormat="1" ht="6" customHeight="1" thickTop="1" thickBot="1" x14ac:dyDescent="0.25">
      <c r="A37" s="181"/>
      <c r="B37" s="181"/>
    </row>
    <row r="38" spans="1:7" s="8" customFormat="1" ht="17.45" customHeight="1" thickTop="1" x14ac:dyDescent="0.25">
      <c r="A38" s="71" t="s">
        <v>447</v>
      </c>
      <c r="B38" s="43"/>
      <c r="C38" s="43"/>
      <c r="D38" s="43"/>
      <c r="E38" s="44"/>
    </row>
    <row r="39" spans="1:7" s="8" customFormat="1" ht="15" customHeight="1" x14ac:dyDescent="0.25">
      <c r="A39" s="45"/>
      <c r="B39" s="46" t="s">
        <v>298</v>
      </c>
      <c r="C39" s="46" t="s">
        <v>310</v>
      </c>
      <c r="D39" s="46" t="s">
        <v>299</v>
      </c>
      <c r="E39" s="47" t="s">
        <v>307</v>
      </c>
    </row>
    <row r="40" spans="1:7" s="8" customFormat="1" ht="17.45" customHeight="1" thickBot="1" x14ac:dyDescent="0.3">
      <c r="A40" s="72" t="s">
        <v>448</v>
      </c>
      <c r="B40" s="48">
        <f>INDEX('Pay 2026'!$T$7:$T$153,MATCH($C$4,'Pay 2026'!$B$7:$B$153,0))</f>
        <v>446784738</v>
      </c>
      <c r="C40" s="48">
        <f>INDEX('Pay 2026'!$U$7:$U$153,MATCH($C$4,'Pay 2026'!$B$7:$B$153,0))</f>
        <v>2042157069</v>
      </c>
      <c r="D40" s="48">
        <f>INDEX('Pay 2026'!$V$7:$V$153,MATCH($C$4,'Pay 2026'!$B$7:$B$153,0))</f>
        <v>1116994418</v>
      </c>
      <c r="E40" s="49">
        <f>SUM(B40:D40)</f>
        <v>3605936225</v>
      </c>
    </row>
    <row r="41" spans="1:7" s="8" customFormat="1" ht="17.45" customHeight="1" thickBot="1" x14ac:dyDescent="0.3">
      <c r="A41" s="73" t="s">
        <v>449</v>
      </c>
      <c r="B41" s="216"/>
      <c r="C41" s="216"/>
      <c r="D41" s="216"/>
      <c r="E41" s="50"/>
    </row>
    <row r="42" spans="1:7" s="8" customFormat="1" ht="17.45" customHeight="1" x14ac:dyDescent="0.25">
      <c r="A42" s="72" t="s">
        <v>450</v>
      </c>
      <c r="B42" s="51">
        <f>ROUND(B40*(1+B41),0)</f>
        <v>446784738</v>
      </c>
      <c r="C42" s="51">
        <f t="shared" ref="C42:D42" si="0">ROUND(C40*(1+C41),0)</f>
        <v>2042157069</v>
      </c>
      <c r="D42" s="51">
        <f t="shared" si="0"/>
        <v>1116994418</v>
      </c>
      <c r="E42" s="52">
        <f>SUM(B42:D42)</f>
        <v>3605936225</v>
      </c>
    </row>
    <row r="43" spans="1:7" s="8" customFormat="1" ht="17.45" customHeight="1" x14ac:dyDescent="0.25">
      <c r="A43" s="72" t="s">
        <v>451</v>
      </c>
      <c r="B43" s="53">
        <v>1.052</v>
      </c>
      <c r="C43" s="53">
        <v>2.355</v>
      </c>
      <c r="D43" s="53">
        <v>4.8739999999999997</v>
      </c>
      <c r="E43" s="54"/>
    </row>
    <row r="44" spans="1:7" s="8" customFormat="1" ht="17.45" customHeight="1" thickBot="1" x14ac:dyDescent="0.3">
      <c r="A44" s="74" t="s">
        <v>452</v>
      </c>
      <c r="B44" s="55">
        <f>ROUND(((B42/1000)*B43)/2,0)</f>
        <v>235009</v>
      </c>
      <c r="C44" s="55">
        <f t="shared" ref="C44:D44" si="1">ROUND(((C42/1000)*C43)/2,0)</f>
        <v>2404640</v>
      </c>
      <c r="D44" s="55">
        <f t="shared" si="1"/>
        <v>2722115</v>
      </c>
      <c r="E44" s="56">
        <f>SUM(B44:D44)</f>
        <v>5361764</v>
      </c>
    </row>
    <row r="45" spans="1:7" s="8" customFormat="1" ht="12" customHeight="1" thickTop="1" x14ac:dyDescent="0.2">
      <c r="A45" s="57"/>
      <c r="D45" s="58" t="s">
        <v>311</v>
      </c>
    </row>
    <row r="46" spans="1:7" s="8" customFormat="1" ht="12" customHeight="1" x14ac:dyDescent="0.2">
      <c r="A46" s="57"/>
      <c r="D46" s="58" t="s">
        <v>363</v>
      </c>
    </row>
    <row r="47" spans="1:7" ht="22.15" customHeight="1" x14ac:dyDescent="0.35">
      <c r="A47" s="220" t="s">
        <v>383</v>
      </c>
      <c r="B47" s="221">
        <f>B36</f>
        <v>0</v>
      </c>
      <c r="D47" s="14"/>
    </row>
    <row r="48" spans="1:7" ht="15" customHeight="1" thickBot="1" x14ac:dyDescent="0.25">
      <c r="A48" s="59"/>
      <c r="B48" s="217" t="s">
        <v>7</v>
      </c>
      <c r="D48" s="14"/>
    </row>
    <row r="49" spans="1:4" ht="17.45" customHeight="1" x14ac:dyDescent="0.3">
      <c r="A49" s="60" t="s">
        <v>453</v>
      </c>
      <c r="B49" s="133">
        <f>INDEX('Pay 2026'!$X$7:$X$153,MATCH($C$4,'Pay 2026'!$B$7:$B$153,0))</f>
        <v>5732721</v>
      </c>
      <c r="D49" s="14"/>
    </row>
    <row r="50" spans="1:4" ht="17.45" customHeight="1" thickBot="1" x14ac:dyDescent="0.35">
      <c r="A50" s="61" t="s">
        <v>454</v>
      </c>
      <c r="B50" s="134">
        <f>E44</f>
        <v>5361764</v>
      </c>
      <c r="D50" s="14"/>
    </row>
    <row r="51" spans="1:4" ht="17.45" customHeight="1" x14ac:dyDescent="0.3">
      <c r="A51" s="128" t="s">
        <v>328</v>
      </c>
      <c r="B51" s="135">
        <f>B49+B50</f>
        <v>11094485</v>
      </c>
    </row>
    <row r="52" spans="1:4" ht="17.45" customHeight="1" x14ac:dyDescent="0.3">
      <c r="A52" s="129" t="s">
        <v>382</v>
      </c>
      <c r="B52" s="136">
        <f>INDEX(OtherRevenueLocalEffortFY27!$K$5:$K$152,MATCH($C$4,OtherRevenueLocalEffortFY27!$B$5:$B$152,0))</f>
        <v>1299877.7200000002</v>
      </c>
    </row>
    <row r="53" spans="1:4" ht="22.15" customHeight="1" x14ac:dyDescent="0.35">
      <c r="A53" s="222" t="s">
        <v>455</v>
      </c>
      <c r="B53" s="223">
        <f>IF((B47-B51-B52)&lt;0,0,B47-B51-B52)</f>
        <v>0</v>
      </c>
    </row>
    <row r="54" spans="1:4" hidden="1" x14ac:dyDescent="0.2"/>
  </sheetData>
  <sheetProtection algorithmName="SHA-512" hashValue="dat84t/W2QH7O+M8g/ha9jTi3uHoKRmWQn72i+aie5AluMYZDRnzVCbBpksVwfNypZZE0e9INdlit+ls7FLHpg==" saltValue="3Vla361Pau4p6cWQBR1h7w==" spinCount="100000" sheet="1" objects="1" scenarios="1"/>
  <mergeCells count="1">
    <mergeCell ref="D24:G24"/>
  </mergeCells>
  <pageMargins left="0.45" right="0" top="0.3" bottom="0.17" header="0.3" footer="0.17"/>
  <pageSetup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8AA279-8C7C-4918-9A8F-E9172823EDBD}">
          <x14:formula1>
            <xm:f>DistrictList!$B$2:$B$148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D936-8D91-4E74-A46B-B8E2E290A5C6}">
  <sheetPr codeName="Sheet2"/>
  <dimension ref="A1:J29"/>
  <sheetViews>
    <sheetView zoomScaleNormal="100" workbookViewId="0">
      <pane ySplit="3" topLeftCell="A4" activePane="bottomLeft" state="frozen"/>
      <selection pane="bottomLeft" activeCell="D1" sqref="D1"/>
    </sheetView>
  </sheetViews>
  <sheetFormatPr defaultColWidth="9.140625" defaultRowHeight="15" x14ac:dyDescent="0.25"/>
  <cols>
    <col min="1" max="1" width="2.7109375" style="108" customWidth="1"/>
    <col min="2" max="2" width="41.7109375" style="108" customWidth="1"/>
    <col min="3" max="5" width="14.5703125" style="108" customWidth="1"/>
    <col min="6" max="6" width="1.5703125" style="108" customWidth="1"/>
    <col min="7" max="7" width="34.28515625" style="119" customWidth="1"/>
    <col min="8" max="8" width="6.7109375" style="108" customWidth="1"/>
    <col min="9" max="16384" width="9.140625" style="108"/>
  </cols>
  <sheetData>
    <row r="1" spans="1:10" s="103" customFormat="1" ht="30.75" customHeight="1" x14ac:dyDescent="0.35">
      <c r="A1" s="102" t="s">
        <v>381</v>
      </c>
      <c r="B1" s="147"/>
      <c r="C1" s="147"/>
      <c r="D1" s="147"/>
      <c r="E1" s="148"/>
      <c r="F1" s="149"/>
      <c r="G1" s="150"/>
      <c r="H1" s="148"/>
    </row>
    <row r="2" spans="1:10" s="103" customFormat="1" ht="21" x14ac:dyDescent="0.35">
      <c r="A2" s="104" t="str">
        <f>'GSA Estimate Calculator'!A4</f>
        <v>Aberdeen 06-1</v>
      </c>
      <c r="B2" s="151"/>
      <c r="C2" s="149">
        <f>'GSA Estimate Calculator'!C4</f>
        <v>6001</v>
      </c>
      <c r="D2" s="151"/>
      <c r="E2" s="151"/>
      <c r="F2" s="151"/>
      <c r="G2" s="152"/>
      <c r="H2" s="148"/>
    </row>
    <row r="3" spans="1:10" ht="15.75" x14ac:dyDescent="0.25">
      <c r="A3" s="105"/>
      <c r="B3" s="105"/>
      <c r="C3" s="137" t="s">
        <v>417</v>
      </c>
      <c r="D3" s="137" t="s">
        <v>467</v>
      </c>
      <c r="E3" s="142" t="s">
        <v>331</v>
      </c>
      <c r="F3" s="106"/>
      <c r="G3" s="138" t="s">
        <v>330</v>
      </c>
      <c r="H3" s="107"/>
    </row>
    <row r="4" spans="1:10" s="14" customFormat="1" ht="15.75" customHeight="1" x14ac:dyDescent="0.25">
      <c r="A4" s="6"/>
      <c r="B4" s="105" t="s">
        <v>332</v>
      </c>
      <c r="C4" s="155">
        <f>INDEX('FY2026'!$C$6:$C$152,MATCH($C$2,'FY2026'!$B$6:$B$152,0))</f>
        <v>4156.82</v>
      </c>
      <c r="D4" s="155">
        <f>'GSA Estimate Calculator'!B7</f>
        <v>0</v>
      </c>
      <c r="E4" s="156">
        <f>D4-C4</f>
        <v>-4156.82</v>
      </c>
      <c r="F4" s="109"/>
      <c r="G4" s="124"/>
      <c r="H4" s="8"/>
    </row>
    <row r="5" spans="1:10" s="14" customFormat="1" ht="15.75" customHeight="1" x14ac:dyDescent="0.25">
      <c r="A5" s="6"/>
      <c r="B5" s="105" t="s">
        <v>333</v>
      </c>
      <c r="C5" s="157">
        <f>INDEX('FY2026'!$F$6:$F$152,MATCH($C$2,'FY2026'!$B$6:$B$152,0))</f>
        <v>15</v>
      </c>
      <c r="D5" s="157">
        <f>'GSA Estimate Calculator'!B9</f>
        <v>12</v>
      </c>
      <c r="E5" s="158"/>
      <c r="F5" s="110"/>
      <c r="G5" s="124"/>
      <c r="H5" s="8"/>
    </row>
    <row r="6" spans="1:10" s="14" customFormat="1" ht="15.75" customHeight="1" x14ac:dyDescent="0.25">
      <c r="A6" s="111"/>
      <c r="B6" s="154" t="s">
        <v>355</v>
      </c>
      <c r="C6" s="159">
        <f>IFERROR(C4/C5,0)</f>
        <v>277.12133333333333</v>
      </c>
      <c r="D6" s="159">
        <f>+D4/D5</f>
        <v>0</v>
      </c>
      <c r="E6" s="160">
        <f>D6-C6</f>
        <v>-277.12133333333333</v>
      </c>
      <c r="F6" s="120"/>
      <c r="G6" s="146" t="s">
        <v>354</v>
      </c>
      <c r="H6" s="122"/>
    </row>
    <row r="7" spans="1:10" s="14" customFormat="1" ht="15.75" customHeight="1" x14ac:dyDescent="0.25">
      <c r="A7" s="6"/>
      <c r="B7" s="105" t="s">
        <v>334</v>
      </c>
      <c r="C7" s="157">
        <f>INDEX('FY2026'!$E$6:$E$152,MATCH($C$2,'FY2026'!$B$6:$B$152,0))</f>
        <v>220</v>
      </c>
      <c r="D7" s="157">
        <f>'GSA Estimate Calculator'!B13</f>
        <v>0</v>
      </c>
      <c r="E7" s="158">
        <f>D7-C7</f>
        <v>-220</v>
      </c>
      <c r="F7" s="110"/>
      <c r="G7" s="173"/>
      <c r="H7" s="8"/>
    </row>
    <row r="8" spans="1:10" s="14" customFormat="1" ht="15.75" customHeight="1" x14ac:dyDescent="0.25">
      <c r="A8" s="6"/>
      <c r="B8" s="105" t="s">
        <v>335</v>
      </c>
      <c r="C8" s="157">
        <f>INDEX('FY2026'!$H$6:$H$152,MATCH($C$2,'FY2026'!$B$6:$B$152,0))</f>
        <v>3.6666666666666665</v>
      </c>
      <c r="D8" s="157">
        <f>'GSA Estimate Calculator'!B16</f>
        <v>0</v>
      </c>
      <c r="E8" s="158"/>
      <c r="F8" s="110"/>
      <c r="G8" s="174"/>
      <c r="H8" s="8"/>
    </row>
    <row r="9" spans="1:10" ht="24" customHeight="1" x14ac:dyDescent="0.25">
      <c r="A9" s="153" t="s">
        <v>356</v>
      </c>
      <c r="B9" s="143"/>
      <c r="C9" s="144">
        <f>C6+C8</f>
        <v>280.78800000000001</v>
      </c>
      <c r="D9" s="144">
        <f>+D6+D8</f>
        <v>0</v>
      </c>
      <c r="E9" s="139">
        <f>D9-C9</f>
        <v>-280.78800000000001</v>
      </c>
      <c r="F9" s="120"/>
      <c r="G9" s="146" t="s">
        <v>371</v>
      </c>
      <c r="H9" s="123"/>
      <c r="I9" s="112"/>
      <c r="J9" s="112"/>
    </row>
    <row r="10" spans="1:10" ht="12" customHeight="1" x14ac:dyDescent="0.25">
      <c r="A10" s="105"/>
      <c r="B10" s="105"/>
      <c r="C10" s="105"/>
      <c r="D10" s="105"/>
      <c r="E10" s="140"/>
      <c r="F10" s="113"/>
      <c r="G10" s="174"/>
      <c r="H10" s="125"/>
    </row>
    <row r="11" spans="1:10" s="14" customFormat="1" ht="15.75" customHeight="1" x14ac:dyDescent="0.25">
      <c r="A11" s="161"/>
      <c r="B11" s="161" t="s">
        <v>336</v>
      </c>
      <c r="C11" s="280">
        <f>'FY2026'!J4</f>
        <v>62821.19</v>
      </c>
      <c r="D11" s="280">
        <f>'GSA Estimate Calculator'!B21</f>
        <v>62821.19</v>
      </c>
      <c r="E11" s="162"/>
      <c r="F11" s="114"/>
      <c r="G11" s="175"/>
      <c r="H11" s="8"/>
    </row>
    <row r="12" spans="1:10" s="14" customFormat="1" ht="15.75" customHeight="1" x14ac:dyDescent="0.25">
      <c r="A12" s="105"/>
      <c r="B12" s="105" t="s">
        <v>337</v>
      </c>
      <c r="C12" s="163">
        <v>0.28999999999999998</v>
      </c>
      <c r="D12" s="163">
        <v>0.28999999999999998</v>
      </c>
      <c r="E12" s="164"/>
      <c r="F12" s="115"/>
      <c r="G12" s="174"/>
      <c r="H12" s="8"/>
    </row>
    <row r="13" spans="1:10" s="14" customFormat="1" ht="15.75" customHeight="1" x14ac:dyDescent="0.25">
      <c r="A13" s="145" t="s">
        <v>364</v>
      </c>
      <c r="B13" s="145"/>
      <c r="C13" s="281">
        <f>+C11*(1+C12)</f>
        <v>81039.335100000011</v>
      </c>
      <c r="D13" s="281">
        <f>D11*(1+D12)</f>
        <v>81039.335100000011</v>
      </c>
      <c r="E13" s="160">
        <f>D13-C13</f>
        <v>0</v>
      </c>
      <c r="F13" s="120"/>
      <c r="G13" s="146" t="s">
        <v>362</v>
      </c>
      <c r="H13" s="122"/>
    </row>
    <row r="14" spans="1:10" s="14" customFormat="1" ht="15.75" customHeight="1" x14ac:dyDescent="0.25">
      <c r="A14" s="105"/>
      <c r="B14" s="105" t="s">
        <v>357</v>
      </c>
      <c r="C14" s="165"/>
      <c r="D14" s="165"/>
      <c r="E14" s="166"/>
      <c r="F14" s="116"/>
      <c r="G14" s="174"/>
      <c r="H14" s="8"/>
    </row>
    <row r="15" spans="1:10" ht="24" customHeight="1" x14ac:dyDescent="0.25">
      <c r="A15" s="153" t="s">
        <v>486</v>
      </c>
      <c r="B15" s="145"/>
      <c r="C15" s="282">
        <f>+C13*C9</f>
        <v>22754872.824058805</v>
      </c>
      <c r="D15" s="282">
        <f>+D13*D9</f>
        <v>0</v>
      </c>
      <c r="E15" s="293">
        <f>D15-C15</f>
        <v>-22754872.824058805</v>
      </c>
      <c r="F15" s="120"/>
      <c r="G15" s="146" t="s">
        <v>372</v>
      </c>
      <c r="H15" s="126"/>
    </row>
    <row r="16" spans="1:10" ht="12" customHeight="1" x14ac:dyDescent="0.25">
      <c r="A16" s="105"/>
      <c r="B16" s="105"/>
      <c r="C16" s="105"/>
      <c r="D16" s="105"/>
      <c r="E16" s="140"/>
      <c r="F16" s="113"/>
      <c r="G16" s="174"/>
      <c r="H16" s="125"/>
    </row>
    <row r="17" spans="1:8" s="14" customFormat="1" ht="15.75" customHeight="1" x14ac:dyDescent="0.25">
      <c r="A17" s="105" t="s">
        <v>338</v>
      </c>
      <c r="C17" s="167">
        <v>0.38779999999999998</v>
      </c>
      <c r="D17" s="167">
        <f>'GSA Estimate Calculator'!B27</f>
        <v>0.38800000000000001</v>
      </c>
      <c r="E17" s="168"/>
      <c r="F17" s="117"/>
      <c r="G17" s="174"/>
      <c r="H17" s="8"/>
    </row>
    <row r="18" spans="1:8" ht="24" customHeight="1" x14ac:dyDescent="0.25">
      <c r="A18" s="153" t="s">
        <v>339</v>
      </c>
      <c r="B18" s="169"/>
      <c r="C18" s="283">
        <f>+C15*C17</f>
        <v>8824339.6811700035</v>
      </c>
      <c r="D18" s="283">
        <f>+D15*D17</f>
        <v>0</v>
      </c>
      <c r="E18" s="294">
        <f>D18-C18</f>
        <v>-8824339.6811700035</v>
      </c>
      <c r="F18" s="120"/>
      <c r="G18" s="146" t="s">
        <v>358</v>
      </c>
      <c r="H18" s="126"/>
    </row>
    <row r="19" spans="1:8" ht="12" customHeight="1" x14ac:dyDescent="0.25">
      <c r="A19" s="105"/>
      <c r="B19" s="105"/>
      <c r="C19" s="105"/>
      <c r="D19" s="105"/>
      <c r="E19" s="140"/>
      <c r="F19" s="113"/>
      <c r="G19" s="174"/>
      <c r="H19" s="125"/>
    </row>
    <row r="20" spans="1:8" ht="15.75" customHeight="1" x14ac:dyDescent="0.25">
      <c r="A20" s="105"/>
      <c r="B20" s="105" t="s">
        <v>481</v>
      </c>
      <c r="C20" s="296">
        <f>INDEX('FY2026'!$N$6:$N$152,MATCH($C$2,'FY2026'!$B$6:$B$152,0))</f>
        <v>1</v>
      </c>
      <c r="D20" s="284">
        <f>'GSA Estimate Calculator'!B31</f>
        <v>0</v>
      </c>
      <c r="E20" s="140"/>
      <c r="F20" s="113"/>
      <c r="G20" s="287"/>
      <c r="H20" s="288"/>
    </row>
    <row r="21" spans="1:8" ht="24" customHeight="1" x14ac:dyDescent="0.25">
      <c r="A21" s="297" t="s">
        <v>483</v>
      </c>
      <c r="B21" s="289"/>
      <c r="C21" s="285">
        <f>INDEX('FY2026'!$O$6:$O$152,MATCH($C$2,'FY2026'!$B$6:$B$152,0))</f>
        <v>749.77600000000007</v>
      </c>
      <c r="D21" s="286">
        <f>'GSA Estimate Calculator'!B34</f>
        <v>0</v>
      </c>
      <c r="E21" s="294">
        <f>D21-C21</f>
        <v>-749.77600000000007</v>
      </c>
      <c r="F21" s="290"/>
      <c r="G21" s="292" t="s">
        <v>482</v>
      </c>
      <c r="H21" s="291"/>
    </row>
    <row r="22" spans="1:8" ht="12" customHeight="1" x14ac:dyDescent="0.25">
      <c r="A22" s="105"/>
      <c r="B22" s="105"/>
      <c r="C22" s="105"/>
      <c r="D22" s="105"/>
      <c r="E22" s="140"/>
      <c r="F22" s="113"/>
      <c r="G22" s="174"/>
      <c r="H22" s="125"/>
    </row>
    <row r="23" spans="1:8" ht="26.25" customHeight="1" x14ac:dyDescent="0.3">
      <c r="A23" s="176" t="s">
        <v>360</v>
      </c>
      <c r="B23" s="169"/>
      <c r="C23" s="283">
        <f>C15+C18+C21</f>
        <v>31579962.281228811</v>
      </c>
      <c r="D23" s="283">
        <f>D15+D18+D21</f>
        <v>0</v>
      </c>
      <c r="E23" s="295">
        <f>D23-C23</f>
        <v>-31579962.281228811</v>
      </c>
      <c r="F23" s="120"/>
      <c r="G23" s="298" t="s">
        <v>485</v>
      </c>
      <c r="H23" s="299"/>
    </row>
    <row r="24" spans="1:8" ht="12" customHeight="1" x14ac:dyDescent="0.25">
      <c r="A24" s="105"/>
      <c r="B24" s="105"/>
      <c r="C24" s="105"/>
      <c r="D24" s="105"/>
      <c r="E24" s="140"/>
      <c r="F24" s="113"/>
      <c r="G24" s="174"/>
      <c r="H24" s="125"/>
    </row>
    <row r="25" spans="1:8" s="14" customFormat="1" ht="16.5" customHeight="1" x14ac:dyDescent="0.25">
      <c r="A25" s="105" t="s">
        <v>340</v>
      </c>
      <c r="B25" s="105"/>
      <c r="C25" s="105"/>
      <c r="D25" s="105"/>
      <c r="E25" s="140"/>
      <c r="F25" s="116"/>
      <c r="G25" s="174"/>
      <c r="H25" s="8"/>
    </row>
    <row r="26" spans="1:8" s="14" customFormat="1" ht="16.5" customHeight="1" x14ac:dyDescent="0.25">
      <c r="A26" s="105"/>
      <c r="B26" s="105" t="s">
        <v>341</v>
      </c>
      <c r="C26" s="127">
        <f>INDEX('FY2026'!$T$6:$T$152,MATCH($C$2,'FY2026'!$B$6:$B$152,0))</f>
        <v>11603561</v>
      </c>
      <c r="D26" s="127">
        <f>'GSA Estimate Calculator'!B49+'GSA Estimate Calculator'!B50</f>
        <v>11094485</v>
      </c>
      <c r="E26" s="171">
        <f>D26-C26</f>
        <v>-509076</v>
      </c>
      <c r="F26" s="118"/>
      <c r="G26" s="174"/>
      <c r="H26" s="8"/>
    </row>
    <row r="27" spans="1:8" s="14" customFormat="1" ht="16.5" customHeight="1" x14ac:dyDescent="0.25">
      <c r="A27" s="161"/>
      <c r="B27" s="161" t="s">
        <v>412</v>
      </c>
      <c r="C27" s="177">
        <f>INDEX('FY2026'!$U$6:$U$152,MATCH($C$2,'FY2026'!$B$6:$B$152,0))</f>
        <v>1267310.1099999999</v>
      </c>
      <c r="D27" s="177">
        <f>'GSA Estimate Calculator'!B52</f>
        <v>1299877.7200000002</v>
      </c>
      <c r="E27" s="178">
        <f>D27-C27</f>
        <v>32567.610000000335</v>
      </c>
      <c r="F27" s="179"/>
      <c r="G27" s="179" t="s">
        <v>413</v>
      </c>
      <c r="H27" s="180"/>
    </row>
    <row r="28" spans="1:8" s="14" customFormat="1" ht="12" customHeight="1" x14ac:dyDescent="0.2">
      <c r="A28" s="6"/>
      <c r="B28" s="6"/>
      <c r="C28" s="6"/>
      <c r="D28" s="6"/>
      <c r="E28" s="141"/>
      <c r="F28" s="116"/>
      <c r="G28" s="174"/>
      <c r="H28" s="8"/>
    </row>
    <row r="29" spans="1:8" ht="26.25" customHeight="1" x14ac:dyDescent="0.3">
      <c r="A29" s="176" t="s">
        <v>361</v>
      </c>
      <c r="B29" s="169"/>
      <c r="C29" s="172">
        <f>IF((C23-C26-C27)&lt;0,0,ROUND(C23-C26-C27,0))</f>
        <v>18709091</v>
      </c>
      <c r="D29" s="172">
        <f>ROUND(D23-D26-D27,0)</f>
        <v>-12394363</v>
      </c>
      <c r="E29" s="170">
        <f>D29-C29</f>
        <v>-31103454</v>
      </c>
      <c r="F29" s="120"/>
      <c r="G29" s="121" t="s">
        <v>414</v>
      </c>
      <c r="H29" s="126"/>
    </row>
  </sheetData>
  <sheetProtection algorithmName="SHA-512" hashValue="OOgWMGzU8+SnUjAdXehbW9k6VGg0ZByjM8Xm6JhvhwIIxpOYJe80yJa5s5B3iHYBW90fuilq7+tRee6MKH3SGw==" saltValue="ClS+g1m+PRXTtypEQr75jA==" spinCount="100000" sheet="1" objects="1" scenarios="1"/>
  <pageMargins left="0.4" right="0.17" top="0.5" bottom="0.17" header="0.17" footer="0.17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DA61-AC2C-42DF-9845-D78E95C9A2FE}">
  <sheetPr codeName="Sheet4">
    <pageSetUpPr fitToPage="1"/>
  </sheetPr>
  <dimension ref="A1:M159"/>
  <sheetViews>
    <sheetView showGridLines="0" zoomScale="93" zoomScaleNormal="93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M2" sqref="M2"/>
    </sheetView>
  </sheetViews>
  <sheetFormatPr defaultColWidth="9.140625" defaultRowHeight="15" x14ac:dyDescent="0.25"/>
  <cols>
    <col min="1" max="1" width="8.7109375" style="182" bestFit="1" customWidth="1"/>
    <col min="2" max="2" width="29.7109375" style="182" bestFit="1" customWidth="1"/>
    <col min="3" max="3" width="10.28515625" style="183" bestFit="1" customWidth="1"/>
    <col min="4" max="6" width="10.7109375" style="183" bestFit="1" customWidth="1"/>
    <col min="7" max="7" width="10.28515625" style="183" bestFit="1" customWidth="1"/>
    <col min="8" max="8" width="10.7109375" style="182" bestFit="1" customWidth="1"/>
    <col min="9" max="9" width="10.28515625" style="182" bestFit="1" customWidth="1"/>
    <col min="10" max="10" width="10.7109375" style="182" bestFit="1" customWidth="1"/>
    <col min="11" max="12" width="10.28515625" style="182" bestFit="1" customWidth="1"/>
    <col min="13" max="13" width="10.85546875" style="182" bestFit="1" customWidth="1"/>
    <col min="14" max="16384" width="9.140625" style="182"/>
  </cols>
  <sheetData>
    <row r="1" spans="1:13" ht="18.75" x14ac:dyDescent="0.3">
      <c r="A1" s="188" t="s">
        <v>306</v>
      </c>
    </row>
    <row r="2" spans="1:13" s="187" customFormat="1" ht="60.75" thickBot="1" x14ac:dyDescent="0.3">
      <c r="A2" s="184" t="s">
        <v>366</v>
      </c>
      <c r="B2" s="185" t="s">
        <v>140</v>
      </c>
      <c r="C2" s="186" t="s">
        <v>305</v>
      </c>
      <c r="D2" s="186" t="s">
        <v>304</v>
      </c>
      <c r="E2" s="186" t="s">
        <v>303</v>
      </c>
      <c r="F2" s="186" t="s">
        <v>297</v>
      </c>
      <c r="G2" s="186" t="s">
        <v>312</v>
      </c>
      <c r="H2" s="186" t="s">
        <v>365</v>
      </c>
      <c r="I2" s="186" t="s">
        <v>374</v>
      </c>
      <c r="J2" s="186" t="s">
        <v>384</v>
      </c>
      <c r="K2" s="186" t="s">
        <v>415</v>
      </c>
      <c r="L2" s="186" t="s">
        <v>418</v>
      </c>
      <c r="M2" s="186" t="s">
        <v>478</v>
      </c>
    </row>
    <row r="3" spans="1:13" s="192" customFormat="1" ht="13.5" thickBot="1" x14ac:dyDescent="0.25">
      <c r="A3" s="189">
        <v>6001</v>
      </c>
      <c r="B3" s="190" t="s">
        <v>141</v>
      </c>
      <c r="C3" s="191">
        <v>4470.79</v>
      </c>
      <c r="D3" s="191">
        <v>4550.58</v>
      </c>
      <c r="E3" s="191">
        <v>4519.12</v>
      </c>
      <c r="F3" s="191">
        <v>4469.9399999999996</v>
      </c>
      <c r="G3" s="191">
        <v>4489.3599999999997</v>
      </c>
      <c r="H3" s="191">
        <v>4491.13</v>
      </c>
      <c r="I3" s="191">
        <v>4428.5200000000004</v>
      </c>
      <c r="J3" s="191">
        <v>4349.66</v>
      </c>
      <c r="K3" s="191">
        <v>4292.53</v>
      </c>
      <c r="L3" s="191">
        <v>4261.4799999999996</v>
      </c>
      <c r="M3" s="191">
        <v>4156.82</v>
      </c>
    </row>
    <row r="4" spans="1:13" s="192" customFormat="1" ht="13.5" thickBot="1" x14ac:dyDescent="0.25">
      <c r="A4" s="189">
        <v>58003</v>
      </c>
      <c r="B4" s="190" t="s">
        <v>142</v>
      </c>
      <c r="C4" s="191">
        <v>262.10000000000002</v>
      </c>
      <c r="D4" s="191">
        <v>251</v>
      </c>
      <c r="E4" s="191">
        <v>251.13</v>
      </c>
      <c r="F4" s="191">
        <v>266.01</v>
      </c>
      <c r="G4" s="191">
        <v>268.01</v>
      </c>
      <c r="H4" s="191">
        <v>265</v>
      </c>
      <c r="I4" s="191">
        <v>235</v>
      </c>
      <c r="J4" s="191">
        <v>226.03</v>
      </c>
      <c r="K4" s="191">
        <v>228.01</v>
      </c>
      <c r="L4" s="191">
        <v>215.96</v>
      </c>
      <c r="M4" s="191">
        <v>224</v>
      </c>
    </row>
    <row r="5" spans="1:13" s="192" customFormat="1" ht="13.5" thickBot="1" x14ac:dyDescent="0.25">
      <c r="A5" s="189">
        <v>61001</v>
      </c>
      <c r="B5" s="190" t="s">
        <v>143</v>
      </c>
      <c r="C5" s="191">
        <v>279.63</v>
      </c>
      <c r="D5" s="191">
        <v>299.52</v>
      </c>
      <c r="E5" s="191">
        <v>310.27</v>
      </c>
      <c r="F5" s="191">
        <v>338.39</v>
      </c>
      <c r="G5" s="191">
        <v>342.23</v>
      </c>
      <c r="H5" s="191">
        <v>341.24</v>
      </c>
      <c r="I5" s="191">
        <v>336.5</v>
      </c>
      <c r="J5" s="191">
        <v>333</v>
      </c>
      <c r="K5" s="191">
        <v>330.15</v>
      </c>
      <c r="L5" s="191">
        <v>319</v>
      </c>
      <c r="M5" s="191">
        <v>320.14999999999998</v>
      </c>
    </row>
    <row r="6" spans="1:13" s="192" customFormat="1" ht="13.5" thickBot="1" x14ac:dyDescent="0.25">
      <c r="A6" s="189">
        <v>11001</v>
      </c>
      <c r="B6" s="190" t="s">
        <v>144</v>
      </c>
      <c r="C6" s="191">
        <v>300</v>
      </c>
      <c r="D6" s="191">
        <v>320</v>
      </c>
      <c r="E6" s="191">
        <v>317</v>
      </c>
      <c r="F6" s="191">
        <v>316</v>
      </c>
      <c r="G6" s="191">
        <v>313</v>
      </c>
      <c r="H6" s="191">
        <v>325</v>
      </c>
      <c r="I6" s="191">
        <v>318</v>
      </c>
      <c r="J6" s="191">
        <v>306</v>
      </c>
      <c r="K6" s="191">
        <v>291</v>
      </c>
      <c r="L6" s="191">
        <v>289</v>
      </c>
      <c r="M6" s="191">
        <v>288</v>
      </c>
    </row>
    <row r="7" spans="1:13" s="192" customFormat="1" ht="13.5" thickBot="1" x14ac:dyDescent="0.25">
      <c r="A7" s="189">
        <v>38001</v>
      </c>
      <c r="B7" s="190" t="s">
        <v>145</v>
      </c>
      <c r="C7" s="191">
        <v>266</v>
      </c>
      <c r="D7" s="191">
        <v>275</v>
      </c>
      <c r="E7" s="191">
        <v>259</v>
      </c>
      <c r="F7" s="191">
        <v>256</v>
      </c>
      <c r="G7" s="191">
        <v>257</v>
      </c>
      <c r="H7" s="191">
        <v>259</v>
      </c>
      <c r="I7" s="191">
        <v>276</v>
      </c>
      <c r="J7" s="191">
        <v>283</v>
      </c>
      <c r="K7" s="191">
        <v>292.43</v>
      </c>
      <c r="L7" s="191">
        <v>277</v>
      </c>
      <c r="M7" s="191">
        <v>269</v>
      </c>
    </row>
    <row r="8" spans="1:13" s="192" customFormat="1" ht="13.5" thickBot="1" x14ac:dyDescent="0.25">
      <c r="A8" s="189">
        <v>21001</v>
      </c>
      <c r="B8" s="190" t="s">
        <v>146</v>
      </c>
      <c r="C8" s="191">
        <v>170</v>
      </c>
      <c r="D8" s="191">
        <v>173</v>
      </c>
      <c r="E8" s="191">
        <v>168</v>
      </c>
      <c r="F8" s="191">
        <v>179</v>
      </c>
      <c r="G8" s="191">
        <v>178</v>
      </c>
      <c r="H8" s="191">
        <v>180</v>
      </c>
      <c r="I8" s="191">
        <v>184.25</v>
      </c>
      <c r="J8" s="191">
        <v>187.8</v>
      </c>
      <c r="K8" s="191">
        <v>196.38</v>
      </c>
      <c r="L8" s="191">
        <v>202</v>
      </c>
      <c r="M8" s="191">
        <v>209</v>
      </c>
    </row>
    <row r="9" spans="1:13" s="192" customFormat="1" ht="13.5" thickBot="1" x14ac:dyDescent="0.25">
      <c r="A9" s="189">
        <v>4001</v>
      </c>
      <c r="B9" s="190" t="s">
        <v>147</v>
      </c>
      <c r="C9" s="191">
        <v>238</v>
      </c>
      <c r="D9" s="191">
        <v>256</v>
      </c>
      <c r="E9" s="191">
        <v>233</v>
      </c>
      <c r="F9" s="191">
        <v>232</v>
      </c>
      <c r="G9" s="191">
        <v>225</v>
      </c>
      <c r="H9" s="191">
        <v>233.25</v>
      </c>
      <c r="I9" s="191">
        <v>231.53</v>
      </c>
      <c r="J9" s="191">
        <v>213.2</v>
      </c>
      <c r="K9" s="191">
        <v>213</v>
      </c>
      <c r="L9" s="191">
        <v>215.38</v>
      </c>
      <c r="M9" s="191">
        <v>212.13</v>
      </c>
    </row>
    <row r="10" spans="1:13" s="192" customFormat="1" ht="13.5" thickBot="1" x14ac:dyDescent="0.25">
      <c r="A10" s="189">
        <v>49001</v>
      </c>
      <c r="B10" s="190" t="s">
        <v>148</v>
      </c>
      <c r="C10" s="191">
        <v>477</v>
      </c>
      <c r="D10" s="191">
        <v>498</v>
      </c>
      <c r="E10" s="191">
        <v>491</v>
      </c>
      <c r="F10" s="191">
        <v>479</v>
      </c>
      <c r="G10" s="191">
        <v>498</v>
      </c>
      <c r="H10" s="191">
        <v>522</v>
      </c>
      <c r="I10" s="191">
        <v>561</v>
      </c>
      <c r="J10" s="191">
        <v>578.25</v>
      </c>
      <c r="K10" s="191">
        <v>552.25</v>
      </c>
      <c r="L10" s="191">
        <v>546.25</v>
      </c>
      <c r="M10" s="191">
        <v>548.04999999999995</v>
      </c>
    </row>
    <row r="11" spans="1:13" s="192" customFormat="1" ht="13.5" thickBot="1" x14ac:dyDescent="0.25">
      <c r="A11" s="189">
        <v>9001</v>
      </c>
      <c r="B11" s="190" t="s">
        <v>149</v>
      </c>
      <c r="C11" s="191">
        <v>1369</v>
      </c>
      <c r="D11" s="191">
        <v>1373.92</v>
      </c>
      <c r="E11" s="191">
        <v>1385.21</v>
      </c>
      <c r="F11" s="191">
        <v>1361.33</v>
      </c>
      <c r="G11" s="191">
        <v>1379.24</v>
      </c>
      <c r="H11" s="191">
        <v>1369.9</v>
      </c>
      <c r="I11" s="191">
        <v>1343.16</v>
      </c>
      <c r="J11" s="191">
        <v>1332.8</v>
      </c>
      <c r="K11" s="191">
        <v>1302.68</v>
      </c>
      <c r="L11" s="191">
        <v>1242.79</v>
      </c>
      <c r="M11" s="191">
        <v>1243.78</v>
      </c>
    </row>
    <row r="12" spans="1:13" s="192" customFormat="1" ht="13.5" thickBot="1" x14ac:dyDescent="0.25">
      <c r="A12" s="189">
        <v>3001</v>
      </c>
      <c r="B12" s="190" t="s">
        <v>150</v>
      </c>
      <c r="C12" s="191">
        <v>470</v>
      </c>
      <c r="D12" s="191">
        <v>480</v>
      </c>
      <c r="E12" s="191">
        <v>481</v>
      </c>
      <c r="F12" s="191">
        <v>442</v>
      </c>
      <c r="G12" s="191">
        <v>513</v>
      </c>
      <c r="H12" s="191">
        <v>488</v>
      </c>
      <c r="I12" s="191">
        <v>501</v>
      </c>
      <c r="J12" s="191">
        <v>467</v>
      </c>
      <c r="K12" s="191">
        <v>460.14</v>
      </c>
      <c r="L12" s="191">
        <v>425.28</v>
      </c>
      <c r="M12" s="191">
        <v>414</v>
      </c>
    </row>
    <row r="13" spans="1:13" s="192" customFormat="1" ht="13.5" thickBot="1" x14ac:dyDescent="0.25">
      <c r="A13" s="189">
        <v>61002</v>
      </c>
      <c r="B13" s="190" t="s">
        <v>151</v>
      </c>
      <c r="C13" s="191">
        <v>668</v>
      </c>
      <c r="D13" s="191">
        <v>675</v>
      </c>
      <c r="E13" s="191">
        <v>675.12</v>
      </c>
      <c r="F13" s="191">
        <v>693.33</v>
      </c>
      <c r="G13" s="191">
        <v>704.82</v>
      </c>
      <c r="H13" s="191">
        <v>704.48</v>
      </c>
      <c r="I13" s="191">
        <v>715.24</v>
      </c>
      <c r="J13" s="191">
        <v>709.95</v>
      </c>
      <c r="K13" s="191">
        <v>673.75</v>
      </c>
      <c r="L13" s="191">
        <v>650.72</v>
      </c>
      <c r="M13" s="191">
        <v>609.45000000000005</v>
      </c>
    </row>
    <row r="14" spans="1:13" s="192" customFormat="1" ht="13.5" thickBot="1" x14ac:dyDescent="0.25">
      <c r="A14" s="189">
        <v>52001</v>
      </c>
      <c r="B14" s="190" t="s">
        <v>153</v>
      </c>
      <c r="C14" s="191">
        <v>148</v>
      </c>
      <c r="D14" s="191">
        <v>149</v>
      </c>
      <c r="E14" s="191">
        <v>152</v>
      </c>
      <c r="F14" s="191">
        <v>146</v>
      </c>
      <c r="G14" s="191">
        <v>141</v>
      </c>
      <c r="H14" s="191">
        <v>141</v>
      </c>
      <c r="I14" s="191">
        <v>137</v>
      </c>
      <c r="J14" s="191">
        <v>134.4</v>
      </c>
      <c r="K14" s="191">
        <v>137</v>
      </c>
      <c r="L14" s="191">
        <v>135</v>
      </c>
      <c r="M14" s="191">
        <v>118</v>
      </c>
    </row>
    <row r="15" spans="1:13" s="192" customFormat="1" ht="13.5" thickBot="1" x14ac:dyDescent="0.25">
      <c r="A15" s="189">
        <v>4002</v>
      </c>
      <c r="B15" s="190" t="s">
        <v>154</v>
      </c>
      <c r="C15" s="191">
        <v>485.51</v>
      </c>
      <c r="D15" s="191">
        <v>510</v>
      </c>
      <c r="E15" s="191">
        <v>524</v>
      </c>
      <c r="F15" s="191">
        <v>531</v>
      </c>
      <c r="G15" s="191">
        <v>512</v>
      </c>
      <c r="H15" s="191">
        <v>495</v>
      </c>
      <c r="I15" s="191">
        <v>540</v>
      </c>
      <c r="J15" s="191">
        <v>551</v>
      </c>
      <c r="K15" s="191">
        <v>548</v>
      </c>
      <c r="L15" s="191">
        <v>551.42999999999995</v>
      </c>
      <c r="M15" s="191">
        <v>548.08000000000004</v>
      </c>
    </row>
    <row r="16" spans="1:13" s="192" customFormat="1" ht="13.5" thickBot="1" x14ac:dyDescent="0.25">
      <c r="A16" s="189">
        <v>22001</v>
      </c>
      <c r="B16" s="190" t="s">
        <v>155</v>
      </c>
      <c r="C16" s="191">
        <v>122.2</v>
      </c>
      <c r="D16" s="191">
        <v>110.2</v>
      </c>
      <c r="E16" s="191">
        <v>109</v>
      </c>
      <c r="F16" s="191">
        <v>109</v>
      </c>
      <c r="G16" s="191">
        <v>112</v>
      </c>
      <c r="H16" s="191">
        <v>118.26</v>
      </c>
      <c r="I16" s="191">
        <v>118</v>
      </c>
      <c r="J16" s="191">
        <v>112</v>
      </c>
      <c r="K16" s="191">
        <v>98.13</v>
      </c>
      <c r="L16" s="191">
        <v>83.13</v>
      </c>
      <c r="M16" s="191">
        <v>75</v>
      </c>
    </row>
    <row r="17" spans="1:13" s="192" customFormat="1" ht="13.5" thickBot="1" x14ac:dyDescent="0.25">
      <c r="A17" s="189">
        <v>49002</v>
      </c>
      <c r="B17" s="190" t="s">
        <v>156</v>
      </c>
      <c r="C17" s="191">
        <v>3778.09</v>
      </c>
      <c r="D17" s="191">
        <v>3932.2</v>
      </c>
      <c r="E17" s="191">
        <v>4057.03</v>
      </c>
      <c r="F17" s="191">
        <v>4249.75</v>
      </c>
      <c r="G17" s="191">
        <v>4427.13</v>
      </c>
      <c r="H17" s="191">
        <v>4681.8</v>
      </c>
      <c r="I17" s="191">
        <v>4866.7</v>
      </c>
      <c r="J17" s="191">
        <v>4981.6499999999996</v>
      </c>
      <c r="K17" s="191">
        <v>5016.5200000000004</v>
      </c>
      <c r="L17" s="191">
        <v>5131.53</v>
      </c>
      <c r="M17" s="191">
        <v>5210.59</v>
      </c>
    </row>
    <row r="18" spans="1:13" s="192" customFormat="1" ht="13.5" thickBot="1" x14ac:dyDescent="0.25">
      <c r="A18" s="189">
        <v>30003</v>
      </c>
      <c r="B18" s="190" t="s">
        <v>157</v>
      </c>
      <c r="C18" s="191">
        <v>322</v>
      </c>
      <c r="D18" s="191">
        <v>322.10000000000002</v>
      </c>
      <c r="E18" s="191">
        <v>334.1</v>
      </c>
      <c r="F18" s="191">
        <v>340</v>
      </c>
      <c r="G18" s="191">
        <v>318.2</v>
      </c>
      <c r="H18" s="191">
        <v>335</v>
      </c>
      <c r="I18" s="191">
        <v>330</v>
      </c>
      <c r="J18" s="191">
        <v>327</v>
      </c>
      <c r="K18" s="191">
        <v>333.1</v>
      </c>
      <c r="L18" s="191">
        <v>317.2</v>
      </c>
      <c r="M18" s="191">
        <v>304.3</v>
      </c>
    </row>
    <row r="19" spans="1:13" s="192" customFormat="1" ht="13.5" thickBot="1" x14ac:dyDescent="0.25">
      <c r="A19" s="189">
        <v>45004</v>
      </c>
      <c r="B19" s="190" t="s">
        <v>158</v>
      </c>
      <c r="C19" s="191">
        <v>432.12</v>
      </c>
      <c r="D19" s="191">
        <v>409.24</v>
      </c>
      <c r="E19" s="191">
        <v>414.24</v>
      </c>
      <c r="F19" s="191">
        <v>418.75</v>
      </c>
      <c r="G19" s="191">
        <v>419.24</v>
      </c>
      <c r="H19" s="191">
        <v>434.1</v>
      </c>
      <c r="I19" s="191">
        <v>453.14</v>
      </c>
      <c r="J19" s="191">
        <v>477.13</v>
      </c>
      <c r="K19" s="191">
        <v>481</v>
      </c>
      <c r="L19" s="191">
        <v>469.13</v>
      </c>
      <c r="M19" s="191">
        <v>479</v>
      </c>
    </row>
    <row r="20" spans="1:13" s="192" customFormat="1" ht="13.5" thickBot="1" x14ac:dyDescent="0.25">
      <c r="A20" s="189">
        <v>5001</v>
      </c>
      <c r="B20" s="190" t="s">
        <v>159</v>
      </c>
      <c r="C20" s="191">
        <v>3354.41</v>
      </c>
      <c r="D20" s="191">
        <v>3341.87</v>
      </c>
      <c r="E20" s="191">
        <v>3402.6</v>
      </c>
      <c r="F20" s="191">
        <v>3402.03</v>
      </c>
      <c r="G20" s="191">
        <v>3408.2</v>
      </c>
      <c r="H20" s="191">
        <v>3343.5</v>
      </c>
      <c r="I20" s="191">
        <v>3395.26</v>
      </c>
      <c r="J20" s="191">
        <v>3441.29</v>
      </c>
      <c r="K20" s="191">
        <v>3455.9</v>
      </c>
      <c r="L20" s="191">
        <v>3522.64</v>
      </c>
      <c r="M20" s="191">
        <v>3454.61</v>
      </c>
    </row>
    <row r="21" spans="1:13" s="192" customFormat="1" ht="13.5" thickBot="1" x14ac:dyDescent="0.25">
      <c r="A21" s="189">
        <v>26002</v>
      </c>
      <c r="B21" s="190" t="s">
        <v>160</v>
      </c>
      <c r="C21" s="191">
        <v>219</v>
      </c>
      <c r="D21" s="191">
        <v>220</v>
      </c>
      <c r="E21" s="191">
        <v>229</v>
      </c>
      <c r="F21" s="191">
        <v>243</v>
      </c>
      <c r="G21" s="191">
        <v>247</v>
      </c>
      <c r="H21" s="191">
        <v>227</v>
      </c>
      <c r="I21" s="191">
        <v>225.44</v>
      </c>
      <c r="J21" s="191">
        <v>221.6</v>
      </c>
      <c r="K21" s="191">
        <v>206.29</v>
      </c>
      <c r="L21" s="191">
        <v>214</v>
      </c>
      <c r="M21" s="191">
        <v>212</v>
      </c>
    </row>
    <row r="22" spans="1:13" s="192" customFormat="1" ht="13.5" thickBot="1" x14ac:dyDescent="0.25">
      <c r="A22" s="189">
        <v>43001</v>
      </c>
      <c r="B22" s="190" t="s">
        <v>161</v>
      </c>
      <c r="C22" s="191">
        <v>216.09</v>
      </c>
      <c r="D22" s="191">
        <v>202.22</v>
      </c>
      <c r="E22" s="191">
        <v>210.53</v>
      </c>
      <c r="F22" s="191">
        <v>193</v>
      </c>
      <c r="G22" s="191">
        <v>216.54</v>
      </c>
      <c r="H22" s="191">
        <v>219.13</v>
      </c>
      <c r="I22" s="191">
        <v>248.42</v>
      </c>
      <c r="J22" s="191">
        <v>277.63</v>
      </c>
      <c r="K22" s="191">
        <v>303.57</v>
      </c>
      <c r="L22" s="191">
        <v>299.43</v>
      </c>
      <c r="M22" s="191">
        <v>299.14</v>
      </c>
    </row>
    <row r="23" spans="1:13" s="192" customFormat="1" ht="13.5" thickBot="1" x14ac:dyDescent="0.25">
      <c r="A23" s="189">
        <v>41001</v>
      </c>
      <c r="B23" s="190" t="s">
        <v>162</v>
      </c>
      <c r="C23" s="191">
        <v>884</v>
      </c>
      <c r="D23" s="191">
        <v>880.5</v>
      </c>
      <c r="E23" s="191">
        <v>877.25</v>
      </c>
      <c r="F23" s="191">
        <v>872.88</v>
      </c>
      <c r="G23" s="191">
        <v>900.5</v>
      </c>
      <c r="H23" s="191">
        <v>874</v>
      </c>
      <c r="I23" s="191">
        <v>885</v>
      </c>
      <c r="J23" s="191">
        <v>879.55</v>
      </c>
      <c r="K23" s="191">
        <v>886.88</v>
      </c>
      <c r="L23" s="191">
        <v>896.73</v>
      </c>
      <c r="M23" s="191">
        <v>875.45</v>
      </c>
    </row>
    <row r="24" spans="1:13" s="192" customFormat="1" ht="13.5" thickBot="1" x14ac:dyDescent="0.25">
      <c r="A24" s="189">
        <v>28001</v>
      </c>
      <c r="B24" s="190" t="s">
        <v>163</v>
      </c>
      <c r="C24" s="191">
        <v>254</v>
      </c>
      <c r="D24" s="191">
        <v>274</v>
      </c>
      <c r="E24" s="191">
        <v>288</v>
      </c>
      <c r="F24" s="191">
        <v>294</v>
      </c>
      <c r="G24" s="191">
        <v>301</v>
      </c>
      <c r="H24" s="191">
        <v>314</v>
      </c>
      <c r="I24" s="191">
        <v>319.29000000000002</v>
      </c>
      <c r="J24" s="191">
        <v>330</v>
      </c>
      <c r="K24" s="191">
        <v>323.16000000000003</v>
      </c>
      <c r="L24" s="191">
        <v>341</v>
      </c>
      <c r="M24" s="191">
        <v>355.43</v>
      </c>
    </row>
    <row r="25" spans="1:13" s="192" customFormat="1" ht="13.5" thickBot="1" x14ac:dyDescent="0.25">
      <c r="A25" s="189">
        <v>60001</v>
      </c>
      <c r="B25" s="190" t="s">
        <v>164</v>
      </c>
      <c r="C25" s="191">
        <v>227.13</v>
      </c>
      <c r="D25" s="191">
        <v>225.13</v>
      </c>
      <c r="E25" s="191">
        <v>266.39</v>
      </c>
      <c r="F25" s="191">
        <v>273.39</v>
      </c>
      <c r="G25" s="191">
        <v>277.06</v>
      </c>
      <c r="H25" s="191">
        <v>283.13</v>
      </c>
      <c r="I25" s="191">
        <v>280.13</v>
      </c>
      <c r="J25" s="191">
        <v>282</v>
      </c>
      <c r="K25" s="191">
        <v>266</v>
      </c>
      <c r="L25" s="191">
        <v>252</v>
      </c>
      <c r="M25" s="191">
        <v>230.5</v>
      </c>
    </row>
    <row r="26" spans="1:13" s="192" customFormat="1" ht="13.5" thickBot="1" x14ac:dyDescent="0.25">
      <c r="A26" s="189">
        <v>7001</v>
      </c>
      <c r="B26" s="190" t="s">
        <v>165</v>
      </c>
      <c r="C26" s="191">
        <v>902.51</v>
      </c>
      <c r="D26" s="191">
        <v>872.28</v>
      </c>
      <c r="E26" s="191">
        <v>900.08</v>
      </c>
      <c r="F26" s="191">
        <v>885.51</v>
      </c>
      <c r="G26" s="191">
        <v>870.2</v>
      </c>
      <c r="H26" s="191">
        <v>876.6</v>
      </c>
      <c r="I26" s="191">
        <v>868.92</v>
      </c>
      <c r="J26" s="191">
        <v>855.25</v>
      </c>
      <c r="K26" s="191">
        <v>846.66</v>
      </c>
      <c r="L26" s="191">
        <v>858.33</v>
      </c>
      <c r="M26" s="191">
        <v>849.86</v>
      </c>
    </row>
    <row r="27" spans="1:13" s="192" customFormat="1" ht="13.5" thickBot="1" x14ac:dyDescent="0.25">
      <c r="A27" s="189">
        <v>39001</v>
      </c>
      <c r="B27" s="190" t="s">
        <v>296</v>
      </c>
      <c r="C27" s="191">
        <v>587</v>
      </c>
      <c r="D27" s="191">
        <v>586</v>
      </c>
      <c r="E27" s="191">
        <v>561</v>
      </c>
      <c r="F27" s="191">
        <v>531</v>
      </c>
      <c r="G27" s="191">
        <v>550</v>
      </c>
      <c r="H27" s="191">
        <v>544</v>
      </c>
      <c r="I27" s="191">
        <v>541</v>
      </c>
      <c r="J27" s="191">
        <v>545</v>
      </c>
      <c r="K27" s="191">
        <v>512</v>
      </c>
      <c r="L27" s="191">
        <v>547</v>
      </c>
      <c r="M27" s="191">
        <v>543</v>
      </c>
    </row>
    <row r="28" spans="1:13" s="192" customFormat="1" ht="13.5" thickBot="1" x14ac:dyDescent="0.25">
      <c r="A28" s="189">
        <v>12002</v>
      </c>
      <c r="B28" s="190" t="s">
        <v>167</v>
      </c>
      <c r="C28" s="191">
        <v>369</v>
      </c>
      <c r="D28" s="191">
        <v>351</v>
      </c>
      <c r="E28" s="191">
        <v>356</v>
      </c>
      <c r="F28" s="191">
        <v>376</v>
      </c>
      <c r="G28" s="191">
        <v>411</v>
      </c>
      <c r="H28" s="191">
        <v>438</v>
      </c>
      <c r="I28" s="191">
        <v>449</v>
      </c>
      <c r="J28" s="191">
        <v>450</v>
      </c>
      <c r="K28" s="191">
        <v>467</v>
      </c>
      <c r="L28" s="191">
        <v>470</v>
      </c>
      <c r="M28" s="191">
        <v>477</v>
      </c>
    </row>
    <row r="29" spans="1:13" s="192" customFormat="1" ht="13.5" thickBot="1" x14ac:dyDescent="0.25">
      <c r="A29" s="189">
        <v>50005</v>
      </c>
      <c r="B29" s="190" t="s">
        <v>168</v>
      </c>
      <c r="C29" s="191">
        <v>259</v>
      </c>
      <c r="D29" s="191">
        <v>250</v>
      </c>
      <c r="E29" s="191">
        <v>247</v>
      </c>
      <c r="F29" s="191">
        <v>252.6</v>
      </c>
      <c r="G29" s="191">
        <v>274.39999999999998</v>
      </c>
      <c r="H29" s="191">
        <v>279.39999999999998</v>
      </c>
      <c r="I29" s="191">
        <v>274.91000000000003</v>
      </c>
      <c r="J29" s="191">
        <v>293.39999999999998</v>
      </c>
      <c r="K29" s="191">
        <v>304.99</v>
      </c>
      <c r="L29" s="191">
        <v>331</v>
      </c>
      <c r="M29" s="191">
        <v>334</v>
      </c>
    </row>
    <row r="30" spans="1:13" s="192" customFormat="1" ht="13.5" thickBot="1" x14ac:dyDescent="0.25">
      <c r="A30" s="189">
        <v>59003</v>
      </c>
      <c r="B30" s="190" t="s">
        <v>416</v>
      </c>
      <c r="C30" s="191">
        <v>234</v>
      </c>
      <c r="D30" s="191">
        <v>228</v>
      </c>
      <c r="E30" s="191">
        <v>224</v>
      </c>
      <c r="F30" s="191">
        <v>229</v>
      </c>
      <c r="G30" s="191">
        <v>219.6</v>
      </c>
      <c r="H30" s="191">
        <v>202</v>
      </c>
      <c r="I30" s="191">
        <v>191</v>
      </c>
      <c r="J30" s="191">
        <v>163.19999999999999</v>
      </c>
      <c r="K30" s="191">
        <v>149</v>
      </c>
      <c r="L30" s="191">
        <v>130.80000000000001</v>
      </c>
      <c r="M30" s="191">
        <v>143.72999999999999</v>
      </c>
    </row>
    <row r="31" spans="1:13" s="192" customFormat="1" ht="13.5" thickBot="1" x14ac:dyDescent="0.25">
      <c r="A31" s="189">
        <v>21003</v>
      </c>
      <c r="B31" s="190" t="s">
        <v>170</v>
      </c>
      <c r="C31" s="191">
        <v>230</v>
      </c>
      <c r="D31" s="191">
        <v>246</v>
      </c>
      <c r="E31" s="191">
        <v>251</v>
      </c>
      <c r="F31" s="191">
        <v>253</v>
      </c>
      <c r="G31" s="191">
        <v>255</v>
      </c>
      <c r="H31" s="191">
        <v>258</v>
      </c>
      <c r="I31" s="191">
        <v>267</v>
      </c>
      <c r="J31" s="191">
        <v>247.24</v>
      </c>
      <c r="K31" s="191">
        <v>252.5</v>
      </c>
      <c r="L31" s="191">
        <v>249</v>
      </c>
      <c r="M31" s="191">
        <v>264.17</v>
      </c>
    </row>
    <row r="32" spans="1:13" s="192" customFormat="1" ht="13.5" thickBot="1" x14ac:dyDescent="0.25">
      <c r="A32" s="189">
        <v>16001</v>
      </c>
      <c r="B32" s="190" t="s">
        <v>171</v>
      </c>
      <c r="C32" s="191">
        <v>873.38</v>
      </c>
      <c r="D32" s="191">
        <v>881.16</v>
      </c>
      <c r="E32" s="191">
        <v>897.02</v>
      </c>
      <c r="F32" s="191">
        <v>958.86</v>
      </c>
      <c r="G32" s="191">
        <v>929.82</v>
      </c>
      <c r="H32" s="191">
        <v>890.66</v>
      </c>
      <c r="I32" s="191">
        <v>922.99</v>
      </c>
      <c r="J32" s="191">
        <v>913.44</v>
      </c>
      <c r="K32" s="191">
        <v>910.87</v>
      </c>
      <c r="L32" s="191">
        <v>871.38</v>
      </c>
      <c r="M32" s="191">
        <v>843.46</v>
      </c>
    </row>
    <row r="33" spans="1:13" s="192" customFormat="1" ht="13.5" thickBot="1" x14ac:dyDescent="0.25">
      <c r="A33" s="189">
        <v>61008</v>
      </c>
      <c r="B33" s="190" t="s">
        <v>172</v>
      </c>
      <c r="C33" s="191">
        <v>1285.48</v>
      </c>
      <c r="D33" s="191">
        <v>1294.78</v>
      </c>
      <c r="E33" s="191">
        <v>1300.47</v>
      </c>
      <c r="F33" s="191">
        <v>1355.41</v>
      </c>
      <c r="G33" s="191">
        <v>1381</v>
      </c>
      <c r="H33" s="191">
        <v>1379.3</v>
      </c>
      <c r="I33" s="191">
        <v>1375.5</v>
      </c>
      <c r="J33" s="191">
        <v>1392.46</v>
      </c>
      <c r="K33" s="191">
        <v>1386.66</v>
      </c>
      <c r="L33" s="191">
        <v>1339.04</v>
      </c>
      <c r="M33" s="191">
        <v>1295.17</v>
      </c>
    </row>
    <row r="34" spans="1:13" s="192" customFormat="1" ht="13.5" thickBot="1" x14ac:dyDescent="0.25">
      <c r="A34" s="189">
        <v>38002</v>
      </c>
      <c r="B34" s="190" t="s">
        <v>173</v>
      </c>
      <c r="C34" s="191">
        <v>286</v>
      </c>
      <c r="D34" s="191">
        <v>308</v>
      </c>
      <c r="E34" s="191">
        <v>302</v>
      </c>
      <c r="F34" s="191">
        <v>285</v>
      </c>
      <c r="G34" s="191">
        <v>278</v>
      </c>
      <c r="H34" s="191">
        <v>284</v>
      </c>
      <c r="I34" s="191">
        <v>298.26</v>
      </c>
      <c r="J34" s="191">
        <v>311.26</v>
      </c>
      <c r="K34" s="191">
        <v>337</v>
      </c>
      <c r="L34" s="191">
        <v>343</v>
      </c>
      <c r="M34" s="191">
        <v>359</v>
      </c>
    </row>
    <row r="35" spans="1:13" s="192" customFormat="1" ht="13.5" thickBot="1" x14ac:dyDescent="0.25">
      <c r="A35" s="189">
        <v>49003</v>
      </c>
      <c r="B35" s="190" t="s">
        <v>174</v>
      </c>
      <c r="C35" s="191">
        <v>902.88</v>
      </c>
      <c r="D35" s="191">
        <v>912.02</v>
      </c>
      <c r="E35" s="191">
        <v>938.13</v>
      </c>
      <c r="F35" s="191">
        <v>951.27</v>
      </c>
      <c r="G35" s="191">
        <v>992.1</v>
      </c>
      <c r="H35" s="191">
        <v>982.16</v>
      </c>
      <c r="I35" s="191">
        <v>988.38</v>
      </c>
      <c r="J35" s="191">
        <v>989.72</v>
      </c>
      <c r="K35" s="191">
        <v>981.94</v>
      </c>
      <c r="L35" s="191">
        <v>975.57</v>
      </c>
      <c r="M35" s="191">
        <v>941.57</v>
      </c>
    </row>
    <row r="36" spans="1:13" s="192" customFormat="1" ht="13.5" thickBot="1" x14ac:dyDescent="0.25">
      <c r="A36" s="189">
        <v>5006</v>
      </c>
      <c r="B36" s="190" t="s">
        <v>295</v>
      </c>
      <c r="C36" s="191">
        <v>367</v>
      </c>
      <c r="D36" s="191">
        <v>344</v>
      </c>
      <c r="E36" s="191">
        <v>365</v>
      </c>
      <c r="F36" s="191">
        <v>379</v>
      </c>
      <c r="G36" s="191">
        <v>363</v>
      </c>
      <c r="H36" s="191">
        <v>386</v>
      </c>
      <c r="I36" s="191">
        <v>391</v>
      </c>
      <c r="J36" s="191">
        <v>399</v>
      </c>
      <c r="K36" s="191">
        <v>400</v>
      </c>
      <c r="L36" s="191">
        <v>403</v>
      </c>
      <c r="M36" s="191">
        <v>417</v>
      </c>
    </row>
    <row r="37" spans="1:13" s="192" customFormat="1" ht="13.5" thickBot="1" x14ac:dyDescent="0.25">
      <c r="A37" s="189">
        <v>19004</v>
      </c>
      <c r="B37" s="190" t="s">
        <v>176</v>
      </c>
      <c r="C37" s="191">
        <v>502.85</v>
      </c>
      <c r="D37" s="191">
        <v>482</v>
      </c>
      <c r="E37" s="191">
        <v>490.25</v>
      </c>
      <c r="F37" s="191">
        <v>513.25</v>
      </c>
      <c r="G37" s="191">
        <v>502.25</v>
      </c>
      <c r="H37" s="191">
        <v>519.25</v>
      </c>
      <c r="I37" s="191">
        <v>529</v>
      </c>
      <c r="J37" s="191">
        <v>510</v>
      </c>
      <c r="K37" s="191">
        <v>512</v>
      </c>
      <c r="L37" s="191">
        <v>523.38</v>
      </c>
      <c r="M37" s="191">
        <v>502</v>
      </c>
    </row>
    <row r="38" spans="1:13" s="192" customFormat="1" ht="13.5" thickBot="1" x14ac:dyDescent="0.25">
      <c r="A38" s="189">
        <v>56002</v>
      </c>
      <c r="B38" s="190" t="s">
        <v>177</v>
      </c>
      <c r="C38" s="191">
        <v>179</v>
      </c>
      <c r="D38" s="191">
        <v>170</v>
      </c>
      <c r="E38" s="191">
        <v>174</v>
      </c>
      <c r="F38" s="191">
        <v>160</v>
      </c>
      <c r="G38" s="191">
        <v>151</v>
      </c>
      <c r="H38" s="191">
        <v>139</v>
      </c>
      <c r="I38" s="191">
        <v>143</v>
      </c>
      <c r="J38" s="191">
        <v>142</v>
      </c>
      <c r="K38" s="191">
        <v>140</v>
      </c>
      <c r="L38" s="191">
        <v>138</v>
      </c>
      <c r="M38" s="191">
        <v>136</v>
      </c>
    </row>
    <row r="39" spans="1:13" s="192" customFormat="1" ht="13.5" thickBot="1" x14ac:dyDescent="0.25">
      <c r="A39" s="189">
        <v>51001</v>
      </c>
      <c r="B39" s="190" t="s">
        <v>178</v>
      </c>
      <c r="C39" s="191">
        <v>2759</v>
      </c>
      <c r="D39" s="191">
        <v>2788</v>
      </c>
      <c r="E39" s="191">
        <v>2924.58</v>
      </c>
      <c r="F39" s="191">
        <v>2907</v>
      </c>
      <c r="G39" s="191">
        <v>2838</v>
      </c>
      <c r="H39" s="191">
        <v>2758</v>
      </c>
      <c r="I39" s="191">
        <v>2804.14</v>
      </c>
      <c r="J39" s="191">
        <v>2750</v>
      </c>
      <c r="K39" s="191">
        <v>2755.28</v>
      </c>
      <c r="L39" s="191">
        <v>2775.27</v>
      </c>
      <c r="M39" s="191">
        <v>2847.69</v>
      </c>
    </row>
    <row r="40" spans="1:13" s="192" customFormat="1" ht="13.5" thickBot="1" x14ac:dyDescent="0.25">
      <c r="A40" s="189">
        <v>64002</v>
      </c>
      <c r="B40" s="190" t="s">
        <v>179</v>
      </c>
      <c r="C40" s="191">
        <v>380</v>
      </c>
      <c r="D40" s="191">
        <v>389</v>
      </c>
      <c r="E40" s="191">
        <v>374.95</v>
      </c>
      <c r="F40" s="191">
        <v>362</v>
      </c>
      <c r="G40" s="191">
        <v>380</v>
      </c>
      <c r="H40" s="191">
        <v>397</v>
      </c>
      <c r="I40" s="191">
        <v>369</v>
      </c>
      <c r="J40" s="191">
        <v>378</v>
      </c>
      <c r="K40" s="191">
        <v>364.87</v>
      </c>
      <c r="L40" s="191">
        <v>350.3</v>
      </c>
      <c r="M40" s="191">
        <v>362</v>
      </c>
    </row>
    <row r="41" spans="1:13" s="192" customFormat="1" ht="13.5" thickBot="1" x14ac:dyDescent="0.25">
      <c r="A41" s="189">
        <v>20001</v>
      </c>
      <c r="B41" s="190" t="s">
        <v>180</v>
      </c>
      <c r="C41" s="191">
        <v>353.02</v>
      </c>
      <c r="D41" s="191">
        <v>331.02</v>
      </c>
      <c r="E41" s="191">
        <v>355.01</v>
      </c>
      <c r="F41" s="191">
        <v>345.01</v>
      </c>
      <c r="G41" s="191">
        <v>340</v>
      </c>
      <c r="H41" s="191">
        <v>318.83999999999997</v>
      </c>
      <c r="I41" s="191">
        <v>333.84</v>
      </c>
      <c r="J41" s="191">
        <v>363</v>
      </c>
      <c r="K41" s="191">
        <v>380</v>
      </c>
      <c r="L41" s="191">
        <v>378</v>
      </c>
      <c r="M41" s="191">
        <v>369</v>
      </c>
    </row>
    <row r="42" spans="1:13" s="192" customFormat="1" ht="13.5" thickBot="1" x14ac:dyDescent="0.25">
      <c r="A42" s="189">
        <v>23001</v>
      </c>
      <c r="B42" s="190" t="s">
        <v>181</v>
      </c>
      <c r="C42" s="191">
        <v>150</v>
      </c>
      <c r="D42" s="191">
        <v>142.13999999999999</v>
      </c>
      <c r="E42" s="191">
        <v>153.29</v>
      </c>
      <c r="F42" s="191">
        <v>159.13999999999999</v>
      </c>
      <c r="G42" s="191">
        <v>161</v>
      </c>
      <c r="H42" s="191">
        <v>158</v>
      </c>
      <c r="I42" s="191">
        <v>159</v>
      </c>
      <c r="J42" s="191">
        <v>147</v>
      </c>
      <c r="K42" s="191">
        <v>122</v>
      </c>
      <c r="L42" s="191">
        <v>112</v>
      </c>
      <c r="M42" s="191">
        <v>105.34</v>
      </c>
    </row>
    <row r="43" spans="1:13" s="192" customFormat="1" ht="13.5" thickBot="1" x14ac:dyDescent="0.25">
      <c r="A43" s="189">
        <v>22005</v>
      </c>
      <c r="B43" s="190" t="s">
        <v>182</v>
      </c>
      <c r="C43" s="191">
        <v>132</v>
      </c>
      <c r="D43" s="191">
        <v>128</v>
      </c>
      <c r="E43" s="191">
        <v>147</v>
      </c>
      <c r="F43" s="191">
        <v>140</v>
      </c>
      <c r="G43" s="191">
        <v>132</v>
      </c>
      <c r="H43" s="191">
        <v>140</v>
      </c>
      <c r="I43" s="191">
        <v>130</v>
      </c>
      <c r="J43" s="191">
        <v>131</v>
      </c>
      <c r="K43" s="191">
        <v>132</v>
      </c>
      <c r="L43" s="191">
        <v>131</v>
      </c>
      <c r="M43" s="191">
        <v>149</v>
      </c>
    </row>
    <row r="44" spans="1:13" s="192" customFormat="1" ht="13.5" thickBot="1" x14ac:dyDescent="0.25">
      <c r="A44" s="189">
        <v>16002</v>
      </c>
      <c r="B44" s="190" t="s">
        <v>183</v>
      </c>
      <c r="C44" s="191">
        <v>7</v>
      </c>
      <c r="D44" s="191">
        <v>11</v>
      </c>
      <c r="E44" s="191">
        <v>10</v>
      </c>
      <c r="F44" s="191">
        <v>13</v>
      </c>
      <c r="G44" s="191">
        <v>8</v>
      </c>
      <c r="H44" s="191">
        <v>9</v>
      </c>
      <c r="I44" s="191">
        <v>11</v>
      </c>
      <c r="J44" s="191">
        <v>10</v>
      </c>
      <c r="K44" s="191">
        <v>14.71</v>
      </c>
      <c r="L44" s="191">
        <v>12</v>
      </c>
      <c r="M44" s="191">
        <v>14</v>
      </c>
    </row>
    <row r="45" spans="1:13" s="192" customFormat="1" ht="13.5" thickBot="1" x14ac:dyDescent="0.25">
      <c r="A45" s="189">
        <v>61007</v>
      </c>
      <c r="B45" s="190" t="s">
        <v>184</v>
      </c>
      <c r="C45" s="191">
        <v>686</v>
      </c>
      <c r="D45" s="191">
        <v>655</v>
      </c>
      <c r="E45" s="191">
        <v>687</v>
      </c>
      <c r="F45" s="191">
        <v>687</v>
      </c>
      <c r="G45" s="191">
        <v>690</v>
      </c>
      <c r="H45" s="191">
        <v>696</v>
      </c>
      <c r="I45" s="191">
        <v>693</v>
      </c>
      <c r="J45" s="191">
        <v>686</v>
      </c>
      <c r="K45" s="191">
        <v>687</v>
      </c>
      <c r="L45" s="191">
        <v>697</v>
      </c>
      <c r="M45" s="191">
        <v>687.23</v>
      </c>
    </row>
    <row r="46" spans="1:13" s="192" customFormat="1" ht="13.5" thickBot="1" x14ac:dyDescent="0.25">
      <c r="A46" s="189">
        <v>5003</v>
      </c>
      <c r="B46" s="190" t="s">
        <v>185</v>
      </c>
      <c r="C46" s="191">
        <v>279</v>
      </c>
      <c r="D46" s="191">
        <v>298</v>
      </c>
      <c r="E46" s="191">
        <v>310</v>
      </c>
      <c r="F46" s="191">
        <v>322</v>
      </c>
      <c r="G46" s="191">
        <v>337</v>
      </c>
      <c r="H46" s="191">
        <v>328</v>
      </c>
      <c r="I46" s="191">
        <v>347</v>
      </c>
      <c r="J46" s="191">
        <v>354.25</v>
      </c>
      <c r="K46" s="191">
        <v>363.15</v>
      </c>
      <c r="L46" s="191">
        <v>351.33</v>
      </c>
      <c r="M46" s="191">
        <v>348.44</v>
      </c>
    </row>
    <row r="47" spans="1:13" s="192" customFormat="1" ht="13.5" thickBot="1" x14ac:dyDescent="0.25">
      <c r="A47" s="189">
        <v>28002</v>
      </c>
      <c r="B47" s="190" t="s">
        <v>186</v>
      </c>
      <c r="C47" s="191">
        <v>245</v>
      </c>
      <c r="D47" s="191">
        <v>261</v>
      </c>
      <c r="E47" s="191">
        <v>271</v>
      </c>
      <c r="F47" s="191">
        <v>261</v>
      </c>
      <c r="G47" s="191">
        <v>265</v>
      </c>
      <c r="H47" s="191">
        <v>273</v>
      </c>
      <c r="I47" s="191">
        <v>262.13</v>
      </c>
      <c r="J47" s="191">
        <v>267.13</v>
      </c>
      <c r="K47" s="191">
        <v>262.57</v>
      </c>
      <c r="L47" s="191">
        <v>274.93</v>
      </c>
      <c r="M47" s="191">
        <v>275.14</v>
      </c>
    </row>
    <row r="48" spans="1:13" s="192" customFormat="1" ht="13.5" thickBot="1" x14ac:dyDescent="0.25">
      <c r="A48" s="189">
        <v>17001</v>
      </c>
      <c r="B48" s="190" t="s">
        <v>187</v>
      </c>
      <c r="C48" s="191">
        <v>239</v>
      </c>
      <c r="D48" s="191">
        <v>250</v>
      </c>
      <c r="E48" s="191">
        <v>248</v>
      </c>
      <c r="F48" s="191">
        <v>269.8</v>
      </c>
      <c r="G48" s="191">
        <v>272.5</v>
      </c>
      <c r="H48" s="191">
        <v>270.5</v>
      </c>
      <c r="I48" s="191">
        <v>274</v>
      </c>
      <c r="J48" s="191">
        <v>270</v>
      </c>
      <c r="K48" s="191">
        <v>279</v>
      </c>
      <c r="L48" s="191">
        <v>270</v>
      </c>
      <c r="M48" s="191">
        <v>273</v>
      </c>
    </row>
    <row r="49" spans="1:13" s="192" customFormat="1" ht="13.5" thickBot="1" x14ac:dyDescent="0.25">
      <c r="A49" s="189">
        <v>44001</v>
      </c>
      <c r="B49" s="190" t="s">
        <v>188</v>
      </c>
      <c r="C49" s="191">
        <v>138</v>
      </c>
      <c r="D49" s="191">
        <v>151</v>
      </c>
      <c r="E49" s="191">
        <v>153</v>
      </c>
      <c r="F49" s="191">
        <v>156.97999999999999</v>
      </c>
      <c r="G49" s="191">
        <v>153.30000000000001</v>
      </c>
      <c r="H49" s="191">
        <v>148.19999999999999</v>
      </c>
      <c r="I49" s="191">
        <v>154.19999999999999</v>
      </c>
      <c r="J49" s="191">
        <v>151.5</v>
      </c>
      <c r="K49" s="191">
        <v>158</v>
      </c>
      <c r="L49" s="191">
        <v>154.19999999999999</v>
      </c>
      <c r="M49" s="191">
        <v>169.4</v>
      </c>
    </row>
    <row r="50" spans="1:13" s="192" customFormat="1" ht="13.5" thickBot="1" x14ac:dyDescent="0.25">
      <c r="A50" s="189">
        <v>46002</v>
      </c>
      <c r="B50" s="190" t="s">
        <v>189</v>
      </c>
      <c r="C50" s="191">
        <v>185</v>
      </c>
      <c r="D50" s="191">
        <v>173</v>
      </c>
      <c r="E50" s="191">
        <v>164</v>
      </c>
      <c r="F50" s="191">
        <v>177</v>
      </c>
      <c r="G50" s="191">
        <v>175</v>
      </c>
      <c r="H50" s="191">
        <v>184</v>
      </c>
      <c r="I50" s="191">
        <v>168</v>
      </c>
      <c r="J50" s="191">
        <v>184</v>
      </c>
      <c r="K50" s="191">
        <v>185</v>
      </c>
      <c r="L50" s="191">
        <v>181</v>
      </c>
      <c r="M50" s="191">
        <v>182.8</v>
      </c>
    </row>
    <row r="51" spans="1:13" s="192" customFormat="1" ht="13.5" thickBot="1" x14ac:dyDescent="0.25">
      <c r="A51" s="189">
        <v>24004</v>
      </c>
      <c r="B51" s="190" t="s">
        <v>190</v>
      </c>
      <c r="C51" s="191">
        <v>302</v>
      </c>
      <c r="D51" s="191">
        <v>308</v>
      </c>
      <c r="E51" s="191">
        <v>306</v>
      </c>
      <c r="F51" s="191">
        <v>311</v>
      </c>
      <c r="G51" s="191">
        <v>335</v>
      </c>
      <c r="H51" s="191">
        <v>356</v>
      </c>
      <c r="I51" s="191">
        <v>359</v>
      </c>
      <c r="J51" s="191">
        <v>370</v>
      </c>
      <c r="K51" s="191">
        <v>374</v>
      </c>
      <c r="L51" s="191">
        <v>386</v>
      </c>
      <c r="M51" s="191">
        <v>387</v>
      </c>
    </row>
    <row r="52" spans="1:13" s="192" customFormat="1" ht="13.5" thickBot="1" x14ac:dyDescent="0.25">
      <c r="A52" s="189">
        <v>50003</v>
      </c>
      <c r="B52" s="190" t="s">
        <v>191</v>
      </c>
      <c r="C52" s="191">
        <v>669.7</v>
      </c>
      <c r="D52" s="191">
        <v>683.7</v>
      </c>
      <c r="E52" s="191">
        <v>683.84</v>
      </c>
      <c r="F52" s="191">
        <v>690.28</v>
      </c>
      <c r="G52" s="191">
        <v>709.28</v>
      </c>
      <c r="H52" s="191">
        <v>700.28</v>
      </c>
      <c r="I52" s="191">
        <v>723</v>
      </c>
      <c r="J52" s="191">
        <v>703.14</v>
      </c>
      <c r="K52" s="191">
        <v>705.28</v>
      </c>
      <c r="L52" s="191">
        <v>730.14</v>
      </c>
      <c r="M52" s="191">
        <v>690</v>
      </c>
    </row>
    <row r="53" spans="1:13" s="192" customFormat="1" ht="13.5" thickBot="1" x14ac:dyDescent="0.25">
      <c r="A53" s="189">
        <v>14001</v>
      </c>
      <c r="B53" s="190" t="s">
        <v>192</v>
      </c>
      <c r="C53" s="191">
        <v>237</v>
      </c>
      <c r="D53" s="191">
        <v>247</v>
      </c>
      <c r="E53" s="191">
        <v>256</v>
      </c>
      <c r="F53" s="191">
        <v>257</v>
      </c>
      <c r="G53" s="191">
        <v>271.99</v>
      </c>
      <c r="H53" s="191">
        <v>288.01</v>
      </c>
      <c r="I53" s="191">
        <v>293.05</v>
      </c>
      <c r="J53" s="191">
        <v>290.7</v>
      </c>
      <c r="K53" s="191">
        <v>313.35000000000002</v>
      </c>
      <c r="L53" s="191">
        <v>324.45999999999998</v>
      </c>
      <c r="M53" s="191">
        <v>362.37</v>
      </c>
    </row>
    <row r="54" spans="1:13" s="192" customFormat="1" ht="13.5" thickBot="1" x14ac:dyDescent="0.25">
      <c r="A54" s="189">
        <v>6002</v>
      </c>
      <c r="B54" s="190" t="s">
        <v>193</v>
      </c>
      <c r="C54" s="191">
        <v>158.30000000000001</v>
      </c>
      <c r="D54" s="191">
        <v>165.3</v>
      </c>
      <c r="E54" s="191">
        <v>160.6</v>
      </c>
      <c r="F54" s="191">
        <v>163</v>
      </c>
      <c r="G54" s="191">
        <v>158.6</v>
      </c>
      <c r="H54" s="191">
        <v>161.5</v>
      </c>
      <c r="I54" s="191">
        <v>174</v>
      </c>
      <c r="J54" s="191">
        <v>172</v>
      </c>
      <c r="K54" s="191">
        <v>177.27</v>
      </c>
      <c r="L54" s="191">
        <v>173</v>
      </c>
      <c r="M54" s="191">
        <v>161</v>
      </c>
    </row>
    <row r="55" spans="1:13" s="192" customFormat="1" ht="13.5" thickBot="1" x14ac:dyDescent="0.25">
      <c r="A55" s="189">
        <v>33001</v>
      </c>
      <c r="B55" s="190" t="s">
        <v>194</v>
      </c>
      <c r="C55" s="191">
        <v>318.02</v>
      </c>
      <c r="D55" s="191">
        <v>303.02</v>
      </c>
      <c r="E55" s="191">
        <v>318.02</v>
      </c>
      <c r="F55" s="191">
        <v>320.02999999999997</v>
      </c>
      <c r="G55" s="191">
        <v>325.36</v>
      </c>
      <c r="H55" s="191">
        <v>337.45</v>
      </c>
      <c r="I55" s="191">
        <v>382.07</v>
      </c>
      <c r="J55" s="191">
        <v>406.22</v>
      </c>
      <c r="K55" s="191">
        <v>421.49</v>
      </c>
      <c r="L55" s="191">
        <v>428.23</v>
      </c>
      <c r="M55" s="191">
        <v>426.85</v>
      </c>
    </row>
    <row r="56" spans="1:13" s="192" customFormat="1" ht="13.5" thickBot="1" x14ac:dyDescent="0.25">
      <c r="A56" s="189">
        <v>49004</v>
      </c>
      <c r="B56" s="190" t="s">
        <v>195</v>
      </c>
      <c r="C56" s="191">
        <v>474</v>
      </c>
      <c r="D56" s="191">
        <v>463</v>
      </c>
      <c r="E56" s="191">
        <v>477</v>
      </c>
      <c r="F56" s="191">
        <v>480.43</v>
      </c>
      <c r="G56" s="191">
        <v>494.77</v>
      </c>
      <c r="H56" s="191">
        <v>465.34</v>
      </c>
      <c r="I56" s="191">
        <v>465</v>
      </c>
      <c r="J56" s="191">
        <v>444.12</v>
      </c>
      <c r="K56" s="191">
        <v>456.44</v>
      </c>
      <c r="L56" s="191">
        <v>475.81</v>
      </c>
      <c r="M56" s="191">
        <v>464.12</v>
      </c>
    </row>
    <row r="57" spans="1:13" s="192" customFormat="1" ht="13.5" thickBot="1" x14ac:dyDescent="0.25">
      <c r="A57" s="189">
        <v>63001</v>
      </c>
      <c r="B57" s="190" t="s">
        <v>196</v>
      </c>
      <c r="C57" s="191">
        <v>287</v>
      </c>
      <c r="D57" s="191">
        <v>304</v>
      </c>
      <c r="E57" s="191">
        <v>279</v>
      </c>
      <c r="F57" s="191">
        <v>293</v>
      </c>
      <c r="G57" s="191">
        <v>290</v>
      </c>
      <c r="H57" s="191">
        <v>279</v>
      </c>
      <c r="I57" s="191">
        <v>275</v>
      </c>
      <c r="J57" s="191">
        <v>262</v>
      </c>
      <c r="K57" s="191">
        <v>257</v>
      </c>
      <c r="L57" s="191">
        <v>255</v>
      </c>
      <c r="M57" s="191">
        <v>248</v>
      </c>
    </row>
    <row r="58" spans="1:13" s="192" customFormat="1" ht="13.5" thickBot="1" x14ac:dyDescent="0.25">
      <c r="A58" s="189">
        <v>53001</v>
      </c>
      <c r="B58" s="190" t="s">
        <v>197</v>
      </c>
      <c r="C58" s="191">
        <v>252.04</v>
      </c>
      <c r="D58" s="191">
        <v>241.04</v>
      </c>
      <c r="E58" s="191">
        <v>243.04</v>
      </c>
      <c r="F58" s="191">
        <v>239.04</v>
      </c>
      <c r="G58" s="191">
        <v>225.75</v>
      </c>
      <c r="H58" s="191">
        <v>224.51</v>
      </c>
      <c r="I58" s="191">
        <v>228</v>
      </c>
      <c r="J58" s="191">
        <v>214.26</v>
      </c>
      <c r="K58" s="191">
        <v>221</v>
      </c>
      <c r="L58" s="191">
        <v>215</v>
      </c>
      <c r="M58" s="191">
        <v>211.8</v>
      </c>
    </row>
    <row r="59" spans="1:13" s="192" customFormat="1" ht="13.5" thickBot="1" x14ac:dyDescent="0.25">
      <c r="A59" s="189">
        <v>26004</v>
      </c>
      <c r="B59" s="190" t="s">
        <v>198</v>
      </c>
      <c r="C59" s="191">
        <v>391</v>
      </c>
      <c r="D59" s="191">
        <v>361</v>
      </c>
      <c r="E59" s="191">
        <v>371</v>
      </c>
      <c r="F59" s="191">
        <v>373.6</v>
      </c>
      <c r="G59" s="191">
        <v>373</v>
      </c>
      <c r="H59" s="191">
        <v>384</v>
      </c>
      <c r="I59" s="191">
        <v>407</v>
      </c>
      <c r="J59" s="191">
        <v>395.53</v>
      </c>
      <c r="K59" s="191">
        <v>407.31</v>
      </c>
      <c r="L59" s="191">
        <v>419.45</v>
      </c>
      <c r="M59" s="191">
        <v>402.58</v>
      </c>
    </row>
    <row r="60" spans="1:13" s="192" customFormat="1" ht="13.5" thickBot="1" x14ac:dyDescent="0.25">
      <c r="A60" s="189">
        <v>6006</v>
      </c>
      <c r="B60" s="190" t="s">
        <v>199</v>
      </c>
      <c r="C60" s="191">
        <v>582</v>
      </c>
      <c r="D60" s="191">
        <v>589</v>
      </c>
      <c r="E60" s="191">
        <v>568</v>
      </c>
      <c r="F60" s="191">
        <v>578.87</v>
      </c>
      <c r="G60" s="191">
        <v>580.86</v>
      </c>
      <c r="H60" s="191">
        <v>611.86</v>
      </c>
      <c r="I60" s="191">
        <v>590.88</v>
      </c>
      <c r="J60" s="191">
        <v>587</v>
      </c>
      <c r="K60" s="191">
        <v>596.47</v>
      </c>
      <c r="L60" s="191">
        <v>570</v>
      </c>
      <c r="M60" s="191">
        <v>563</v>
      </c>
    </row>
    <row r="61" spans="1:13" s="192" customFormat="1" ht="13.5" thickBot="1" x14ac:dyDescent="0.25">
      <c r="A61" s="189">
        <v>27001</v>
      </c>
      <c r="B61" s="190" t="s">
        <v>200</v>
      </c>
      <c r="C61" s="191">
        <v>288</v>
      </c>
      <c r="D61" s="191">
        <v>310</v>
      </c>
      <c r="E61" s="191">
        <v>302</v>
      </c>
      <c r="F61" s="191">
        <v>310</v>
      </c>
      <c r="G61" s="191">
        <v>318</v>
      </c>
      <c r="H61" s="191">
        <v>315</v>
      </c>
      <c r="I61" s="191">
        <v>309</v>
      </c>
      <c r="J61" s="191">
        <v>319.27999999999997</v>
      </c>
      <c r="K61" s="191">
        <v>323.81</v>
      </c>
      <c r="L61" s="191">
        <v>327.95</v>
      </c>
      <c r="M61" s="191">
        <v>316.38</v>
      </c>
    </row>
    <row r="62" spans="1:13" s="192" customFormat="1" ht="13.5" thickBot="1" x14ac:dyDescent="0.25">
      <c r="A62" s="189">
        <v>28003</v>
      </c>
      <c r="B62" s="190" t="s">
        <v>201</v>
      </c>
      <c r="C62" s="191">
        <v>726.68</v>
      </c>
      <c r="D62" s="191">
        <v>749</v>
      </c>
      <c r="E62" s="191">
        <v>783</v>
      </c>
      <c r="F62" s="191">
        <v>810</v>
      </c>
      <c r="G62" s="191">
        <v>842</v>
      </c>
      <c r="H62" s="191">
        <v>847</v>
      </c>
      <c r="I62" s="191">
        <v>838</v>
      </c>
      <c r="J62" s="191">
        <v>834.99</v>
      </c>
      <c r="K62" s="191">
        <v>841</v>
      </c>
      <c r="L62" s="191">
        <v>867</v>
      </c>
      <c r="M62" s="191">
        <v>843</v>
      </c>
    </row>
    <row r="63" spans="1:13" s="192" customFormat="1" ht="13.5" thickBot="1" x14ac:dyDescent="0.25">
      <c r="A63" s="189">
        <v>30001</v>
      </c>
      <c r="B63" s="190" t="s">
        <v>202</v>
      </c>
      <c r="C63" s="191">
        <v>439</v>
      </c>
      <c r="D63" s="191">
        <v>419</v>
      </c>
      <c r="E63" s="191">
        <v>409</v>
      </c>
      <c r="F63" s="191">
        <v>402</v>
      </c>
      <c r="G63" s="191">
        <v>396</v>
      </c>
      <c r="H63" s="191">
        <v>391</v>
      </c>
      <c r="I63" s="191">
        <v>382</v>
      </c>
      <c r="J63" s="191">
        <v>385</v>
      </c>
      <c r="K63" s="191">
        <v>377.25</v>
      </c>
      <c r="L63" s="191">
        <v>371</v>
      </c>
      <c r="M63" s="191">
        <v>341</v>
      </c>
    </row>
    <row r="64" spans="1:13" s="192" customFormat="1" ht="13.5" thickBot="1" x14ac:dyDescent="0.25">
      <c r="A64" s="189">
        <v>31001</v>
      </c>
      <c r="B64" s="190" t="s">
        <v>203</v>
      </c>
      <c r="C64" s="191">
        <v>194.25</v>
      </c>
      <c r="D64" s="191">
        <v>202.25</v>
      </c>
      <c r="E64" s="191">
        <v>195.25</v>
      </c>
      <c r="F64" s="191">
        <v>200</v>
      </c>
      <c r="G64" s="191">
        <v>200.25</v>
      </c>
      <c r="H64" s="191">
        <v>194.25</v>
      </c>
      <c r="I64" s="191">
        <v>210.25</v>
      </c>
      <c r="J64" s="191">
        <v>224</v>
      </c>
      <c r="K64" s="191">
        <v>221</v>
      </c>
      <c r="L64" s="191">
        <v>226.5</v>
      </c>
      <c r="M64" s="191">
        <v>235.5</v>
      </c>
    </row>
    <row r="65" spans="1:13" s="192" customFormat="1" ht="13.5" thickBot="1" x14ac:dyDescent="0.25">
      <c r="A65" s="189">
        <v>41002</v>
      </c>
      <c r="B65" s="190" t="s">
        <v>204</v>
      </c>
      <c r="C65" s="191">
        <v>3853.6</v>
      </c>
      <c r="D65" s="191">
        <v>4144.5200000000004</v>
      </c>
      <c r="E65" s="191">
        <v>4542.16</v>
      </c>
      <c r="F65" s="191">
        <v>4807.7700000000004</v>
      </c>
      <c r="G65" s="191">
        <v>5152.17</v>
      </c>
      <c r="H65" s="191">
        <v>5418.53</v>
      </c>
      <c r="I65" s="191">
        <v>5710.32</v>
      </c>
      <c r="J65" s="191">
        <v>5902.4</v>
      </c>
      <c r="K65" s="191">
        <v>6071.99</v>
      </c>
      <c r="L65" s="191">
        <v>6191.44</v>
      </c>
      <c r="M65" s="191">
        <v>6364.85</v>
      </c>
    </row>
    <row r="66" spans="1:13" s="192" customFormat="1" ht="13.5" thickBot="1" x14ac:dyDescent="0.25">
      <c r="A66" s="189">
        <v>14002</v>
      </c>
      <c r="B66" s="190" t="s">
        <v>205</v>
      </c>
      <c r="C66" s="191">
        <v>166</v>
      </c>
      <c r="D66" s="191">
        <v>170</v>
      </c>
      <c r="E66" s="191">
        <v>165</v>
      </c>
      <c r="F66" s="191">
        <v>176</v>
      </c>
      <c r="G66" s="191">
        <v>157</v>
      </c>
      <c r="H66" s="191">
        <v>168</v>
      </c>
      <c r="I66" s="191">
        <v>181.01</v>
      </c>
      <c r="J66" s="191">
        <v>183</v>
      </c>
      <c r="K66" s="191">
        <v>190</v>
      </c>
      <c r="L66" s="191">
        <v>180</v>
      </c>
      <c r="M66" s="191">
        <v>145</v>
      </c>
    </row>
    <row r="67" spans="1:13" s="192" customFormat="1" ht="13.5" thickBot="1" x14ac:dyDescent="0.25">
      <c r="A67" s="189">
        <v>10001</v>
      </c>
      <c r="B67" s="190" t="s">
        <v>206</v>
      </c>
      <c r="C67" s="191">
        <v>120.14</v>
      </c>
      <c r="D67" s="191">
        <v>117</v>
      </c>
      <c r="E67" s="191">
        <v>109</v>
      </c>
      <c r="F67" s="191">
        <v>119</v>
      </c>
      <c r="G67" s="191">
        <v>123</v>
      </c>
      <c r="H67" s="191">
        <v>119.18</v>
      </c>
      <c r="I67" s="191">
        <v>125</v>
      </c>
      <c r="J67" s="191">
        <v>140</v>
      </c>
      <c r="K67" s="191">
        <v>138</v>
      </c>
      <c r="L67" s="191">
        <v>138</v>
      </c>
      <c r="M67" s="191">
        <v>138.5</v>
      </c>
    </row>
    <row r="68" spans="1:13" s="192" customFormat="1" ht="13.5" thickBot="1" x14ac:dyDescent="0.25">
      <c r="A68" s="189">
        <v>34002</v>
      </c>
      <c r="B68" s="190" t="s">
        <v>207</v>
      </c>
      <c r="C68" s="191">
        <v>251.4</v>
      </c>
      <c r="D68" s="191">
        <v>250</v>
      </c>
      <c r="E68" s="191">
        <v>238</v>
      </c>
      <c r="F68" s="191">
        <v>232.95</v>
      </c>
      <c r="G68" s="191">
        <v>225</v>
      </c>
      <c r="H68" s="191">
        <v>216</v>
      </c>
      <c r="I68" s="191">
        <v>218</v>
      </c>
      <c r="J68" s="191">
        <v>215</v>
      </c>
      <c r="K68" s="191">
        <v>231.2</v>
      </c>
      <c r="L68" s="191">
        <v>214.2</v>
      </c>
      <c r="M68" s="191">
        <v>220.26</v>
      </c>
    </row>
    <row r="69" spans="1:13" s="192" customFormat="1" ht="13.5" thickBot="1" x14ac:dyDescent="0.25">
      <c r="A69" s="189">
        <v>51002</v>
      </c>
      <c r="B69" s="190" t="s">
        <v>208</v>
      </c>
      <c r="C69" s="191">
        <v>499</v>
      </c>
      <c r="D69" s="191">
        <v>498.15</v>
      </c>
      <c r="E69" s="191">
        <v>456.6</v>
      </c>
      <c r="F69" s="191">
        <v>453.4</v>
      </c>
      <c r="G69" s="191">
        <v>464</v>
      </c>
      <c r="H69" s="191">
        <v>488.3</v>
      </c>
      <c r="I69" s="191">
        <v>502.55</v>
      </c>
      <c r="J69" s="191">
        <v>486.7</v>
      </c>
      <c r="K69" s="191">
        <v>498.4</v>
      </c>
      <c r="L69" s="191">
        <v>507.4</v>
      </c>
      <c r="M69" s="191">
        <v>499.2</v>
      </c>
    </row>
    <row r="70" spans="1:13" s="192" customFormat="1" ht="13.5" thickBot="1" x14ac:dyDescent="0.25">
      <c r="A70" s="189">
        <v>56006</v>
      </c>
      <c r="B70" s="190" t="s">
        <v>209</v>
      </c>
      <c r="C70" s="191">
        <v>216</v>
      </c>
      <c r="D70" s="191">
        <v>231</v>
      </c>
      <c r="E70" s="191">
        <v>232</v>
      </c>
      <c r="F70" s="191">
        <v>230.38</v>
      </c>
      <c r="G70" s="191">
        <v>229</v>
      </c>
      <c r="H70" s="191">
        <v>219</v>
      </c>
      <c r="I70" s="191">
        <v>235.13</v>
      </c>
      <c r="J70" s="191">
        <v>222</v>
      </c>
      <c r="K70" s="191">
        <v>224</v>
      </c>
      <c r="L70" s="191">
        <v>221</v>
      </c>
      <c r="M70" s="191">
        <v>217</v>
      </c>
    </row>
    <row r="71" spans="1:13" s="192" customFormat="1" ht="13.5" thickBot="1" x14ac:dyDescent="0.25">
      <c r="A71" s="189">
        <v>23002</v>
      </c>
      <c r="B71" s="190" t="s">
        <v>210</v>
      </c>
      <c r="C71" s="191">
        <v>814.8</v>
      </c>
      <c r="D71" s="191">
        <v>806.4</v>
      </c>
      <c r="E71" s="191">
        <v>776.1</v>
      </c>
      <c r="F71" s="191">
        <v>761.24</v>
      </c>
      <c r="G71" s="191">
        <v>761.46</v>
      </c>
      <c r="H71" s="191">
        <v>730.52</v>
      </c>
      <c r="I71" s="191">
        <v>765.86</v>
      </c>
      <c r="J71" s="191">
        <v>753.26</v>
      </c>
      <c r="K71" s="191">
        <v>728.8</v>
      </c>
      <c r="L71" s="191">
        <v>691.94</v>
      </c>
      <c r="M71" s="191">
        <v>660.42</v>
      </c>
    </row>
    <row r="72" spans="1:13" s="192" customFormat="1" ht="13.5" thickBot="1" x14ac:dyDescent="0.25">
      <c r="A72" s="189">
        <v>53002</v>
      </c>
      <c r="B72" s="190" t="s">
        <v>211</v>
      </c>
      <c r="C72" s="191">
        <v>112</v>
      </c>
      <c r="D72" s="191">
        <v>109</v>
      </c>
      <c r="E72" s="191">
        <v>102</v>
      </c>
      <c r="F72" s="191">
        <v>104</v>
      </c>
      <c r="G72" s="191">
        <v>99.12</v>
      </c>
      <c r="H72" s="191">
        <v>100.12</v>
      </c>
      <c r="I72" s="191">
        <v>104</v>
      </c>
      <c r="J72" s="191">
        <v>104</v>
      </c>
      <c r="K72" s="191">
        <v>105</v>
      </c>
      <c r="L72" s="191">
        <v>113</v>
      </c>
      <c r="M72" s="191">
        <v>102</v>
      </c>
    </row>
    <row r="73" spans="1:13" s="192" customFormat="1" ht="13.5" thickBot="1" x14ac:dyDescent="0.25">
      <c r="A73" s="189">
        <v>48003</v>
      </c>
      <c r="B73" s="190" t="s">
        <v>212</v>
      </c>
      <c r="C73" s="191">
        <v>359</v>
      </c>
      <c r="D73" s="191">
        <v>365.12</v>
      </c>
      <c r="E73" s="191">
        <v>365</v>
      </c>
      <c r="F73" s="191">
        <v>363.1</v>
      </c>
      <c r="G73" s="191">
        <v>359</v>
      </c>
      <c r="H73" s="191">
        <v>339</v>
      </c>
      <c r="I73" s="191">
        <v>348</v>
      </c>
      <c r="J73" s="191">
        <v>350</v>
      </c>
      <c r="K73" s="191">
        <v>334</v>
      </c>
      <c r="L73" s="191">
        <v>337</v>
      </c>
      <c r="M73" s="191">
        <v>334</v>
      </c>
    </row>
    <row r="74" spans="1:13" s="192" customFormat="1" ht="13.5" thickBot="1" x14ac:dyDescent="0.25">
      <c r="A74" s="189">
        <v>2002</v>
      </c>
      <c r="B74" s="190" t="s">
        <v>213</v>
      </c>
      <c r="C74" s="191">
        <f>2471.74-1</f>
        <v>2470.7399999999998</v>
      </c>
      <c r="D74" s="191">
        <v>2544.14</v>
      </c>
      <c r="E74" s="191">
        <v>2612.23</v>
      </c>
      <c r="F74" s="191">
        <v>2660.62</v>
      </c>
      <c r="G74" s="191">
        <v>2816.66</v>
      </c>
      <c r="H74" s="191">
        <v>2788.2</v>
      </c>
      <c r="I74" s="191">
        <v>2867.85</v>
      </c>
      <c r="J74" s="191">
        <v>2921.98</v>
      </c>
      <c r="K74" s="191">
        <v>2949.12</v>
      </c>
      <c r="L74" s="191">
        <v>3082.79</v>
      </c>
      <c r="M74" s="191">
        <v>3048.21</v>
      </c>
    </row>
    <row r="75" spans="1:13" s="192" customFormat="1" ht="13.5" thickBot="1" x14ac:dyDescent="0.25">
      <c r="A75" s="189">
        <v>22006</v>
      </c>
      <c r="B75" s="190" t="s">
        <v>214</v>
      </c>
      <c r="C75" s="191">
        <v>381.7</v>
      </c>
      <c r="D75" s="191">
        <v>403</v>
      </c>
      <c r="E75" s="191">
        <v>405.49</v>
      </c>
      <c r="F75" s="191">
        <v>422.49</v>
      </c>
      <c r="G75" s="191">
        <v>414.13</v>
      </c>
      <c r="H75" s="191">
        <v>412.13</v>
      </c>
      <c r="I75" s="191">
        <v>418</v>
      </c>
      <c r="J75" s="191">
        <v>428.07</v>
      </c>
      <c r="K75" s="191">
        <v>408.07</v>
      </c>
      <c r="L75" s="191">
        <v>430.14</v>
      </c>
      <c r="M75" s="191">
        <v>432</v>
      </c>
    </row>
    <row r="76" spans="1:13" s="192" customFormat="1" ht="13.5" thickBot="1" x14ac:dyDescent="0.25">
      <c r="A76" s="189">
        <v>13003</v>
      </c>
      <c r="B76" s="190" t="s">
        <v>215</v>
      </c>
      <c r="C76" s="191">
        <v>289.14999999999998</v>
      </c>
      <c r="D76" s="191">
        <v>294.45</v>
      </c>
      <c r="E76" s="191">
        <v>296.3</v>
      </c>
      <c r="F76" s="191">
        <v>283.72000000000003</v>
      </c>
      <c r="G76" s="191">
        <v>290.86</v>
      </c>
      <c r="H76" s="191">
        <v>293.87</v>
      </c>
      <c r="I76" s="191">
        <v>293.57</v>
      </c>
      <c r="J76" s="191">
        <v>282.56</v>
      </c>
      <c r="K76" s="191">
        <v>275.42</v>
      </c>
      <c r="L76" s="191">
        <v>277.07</v>
      </c>
      <c r="M76" s="191">
        <v>274.22000000000003</v>
      </c>
    </row>
    <row r="77" spans="1:13" s="192" customFormat="1" ht="13.5" thickBot="1" x14ac:dyDescent="0.25">
      <c r="A77" s="189">
        <v>2003</v>
      </c>
      <c r="B77" s="190" t="s">
        <v>216</v>
      </c>
      <c r="C77" s="191">
        <v>217</v>
      </c>
      <c r="D77" s="191">
        <v>238.02</v>
      </c>
      <c r="E77" s="191">
        <v>219</v>
      </c>
      <c r="F77" s="191">
        <v>223.2</v>
      </c>
      <c r="G77" s="191">
        <v>213</v>
      </c>
      <c r="H77" s="191">
        <v>204</v>
      </c>
      <c r="I77" s="191">
        <v>223.5</v>
      </c>
      <c r="J77" s="191">
        <v>229</v>
      </c>
      <c r="K77" s="191">
        <v>213.06</v>
      </c>
      <c r="L77" s="191">
        <v>214</v>
      </c>
      <c r="M77" s="191">
        <v>200.25</v>
      </c>
    </row>
    <row r="78" spans="1:13" s="192" customFormat="1" ht="13.5" thickBot="1" x14ac:dyDescent="0.25">
      <c r="A78" s="189">
        <v>37003</v>
      </c>
      <c r="B78" s="190" t="s">
        <v>217</v>
      </c>
      <c r="C78" s="191">
        <v>188</v>
      </c>
      <c r="D78" s="191">
        <v>189</v>
      </c>
      <c r="E78" s="191">
        <v>187.29</v>
      </c>
      <c r="F78" s="191">
        <v>179</v>
      </c>
      <c r="G78" s="191">
        <v>168</v>
      </c>
      <c r="H78" s="191">
        <v>178</v>
      </c>
      <c r="I78" s="191">
        <v>187</v>
      </c>
      <c r="J78" s="191">
        <v>186.15</v>
      </c>
      <c r="K78" s="191">
        <v>184</v>
      </c>
      <c r="L78" s="191">
        <v>180</v>
      </c>
      <c r="M78" s="191">
        <v>173.14</v>
      </c>
    </row>
    <row r="79" spans="1:13" s="192" customFormat="1" ht="13.5" thickBot="1" x14ac:dyDescent="0.25">
      <c r="A79" s="189">
        <v>35002</v>
      </c>
      <c r="B79" s="190" t="s">
        <v>218</v>
      </c>
      <c r="C79" s="191">
        <v>361</v>
      </c>
      <c r="D79" s="191">
        <v>348</v>
      </c>
      <c r="E79" s="191">
        <v>322</v>
      </c>
      <c r="F79" s="191">
        <v>322</v>
      </c>
      <c r="G79" s="191">
        <v>338.42</v>
      </c>
      <c r="H79" s="191">
        <v>314.42</v>
      </c>
      <c r="I79" s="191">
        <v>325</v>
      </c>
      <c r="J79" s="191">
        <v>317</v>
      </c>
      <c r="K79" s="191">
        <v>293</v>
      </c>
      <c r="L79" s="191">
        <v>271.83</v>
      </c>
      <c r="M79" s="191">
        <v>279.83</v>
      </c>
    </row>
    <row r="80" spans="1:13" s="192" customFormat="1" ht="13.5" thickBot="1" x14ac:dyDescent="0.25">
      <c r="A80" s="189">
        <v>7002</v>
      </c>
      <c r="B80" s="190" t="s">
        <v>219</v>
      </c>
      <c r="C80" s="191">
        <v>307</v>
      </c>
      <c r="D80" s="191">
        <v>296</v>
      </c>
      <c r="E80" s="191">
        <v>304.25</v>
      </c>
      <c r="F80" s="191">
        <v>305.25</v>
      </c>
      <c r="G80" s="191">
        <v>314</v>
      </c>
      <c r="H80" s="191">
        <v>331</v>
      </c>
      <c r="I80" s="191">
        <v>330</v>
      </c>
      <c r="J80" s="191">
        <v>339.12</v>
      </c>
      <c r="K80" s="191">
        <v>350.12</v>
      </c>
      <c r="L80" s="191">
        <v>340.12</v>
      </c>
      <c r="M80" s="191">
        <v>338</v>
      </c>
    </row>
    <row r="81" spans="1:13" s="192" customFormat="1" ht="13.5" thickBot="1" x14ac:dyDescent="0.25">
      <c r="A81" s="189">
        <v>38003</v>
      </c>
      <c r="B81" s="190" t="s">
        <v>220</v>
      </c>
      <c r="C81" s="191">
        <v>162</v>
      </c>
      <c r="D81" s="191">
        <v>148</v>
      </c>
      <c r="E81" s="191">
        <v>157</v>
      </c>
      <c r="F81" s="191">
        <v>164</v>
      </c>
      <c r="G81" s="191">
        <v>178</v>
      </c>
      <c r="H81" s="191">
        <v>169</v>
      </c>
      <c r="I81" s="191">
        <v>177</v>
      </c>
      <c r="J81" s="191">
        <v>165.49</v>
      </c>
      <c r="K81" s="191">
        <v>175</v>
      </c>
      <c r="L81" s="191">
        <v>164</v>
      </c>
      <c r="M81" s="191">
        <v>168</v>
      </c>
    </row>
    <row r="82" spans="1:13" s="192" customFormat="1" ht="13.5" thickBot="1" x14ac:dyDescent="0.25">
      <c r="A82" s="189">
        <v>45005</v>
      </c>
      <c r="B82" s="190" t="s">
        <v>221</v>
      </c>
      <c r="C82" s="191">
        <v>218</v>
      </c>
      <c r="D82" s="191">
        <v>218</v>
      </c>
      <c r="E82" s="191">
        <v>203</v>
      </c>
      <c r="F82" s="191">
        <v>211</v>
      </c>
      <c r="G82" s="191">
        <v>213</v>
      </c>
      <c r="H82" s="191">
        <v>213</v>
      </c>
      <c r="I82" s="191">
        <v>227</v>
      </c>
      <c r="J82" s="191">
        <v>230</v>
      </c>
      <c r="K82" s="191">
        <v>225</v>
      </c>
      <c r="L82" s="191">
        <v>246.5</v>
      </c>
      <c r="M82" s="191">
        <v>226.58</v>
      </c>
    </row>
    <row r="83" spans="1:13" s="192" customFormat="1" ht="13.5" thickBot="1" x14ac:dyDescent="0.25">
      <c r="A83" s="189">
        <v>40001</v>
      </c>
      <c r="B83" s="190" t="s">
        <v>302</v>
      </c>
      <c r="C83" s="191">
        <v>763.29</v>
      </c>
      <c r="D83" s="191">
        <v>725.63</v>
      </c>
      <c r="E83" s="191">
        <v>784.5</v>
      </c>
      <c r="F83" s="191">
        <v>757.99</v>
      </c>
      <c r="G83" s="191">
        <v>753.06</v>
      </c>
      <c r="H83" s="191">
        <v>725.56</v>
      </c>
      <c r="I83" s="191">
        <v>688.64</v>
      </c>
      <c r="J83" s="191">
        <v>704.31</v>
      </c>
      <c r="K83" s="191">
        <v>658.06</v>
      </c>
      <c r="L83" s="191">
        <v>637.78</v>
      </c>
      <c r="M83" s="191">
        <v>593</v>
      </c>
    </row>
    <row r="84" spans="1:13" s="192" customFormat="1" ht="13.5" thickBot="1" x14ac:dyDescent="0.25">
      <c r="A84" s="189">
        <v>52004</v>
      </c>
      <c r="B84" s="190" t="s">
        <v>223</v>
      </c>
      <c r="C84" s="191">
        <v>273.37</v>
      </c>
      <c r="D84" s="191">
        <v>266.55</v>
      </c>
      <c r="E84" s="191">
        <v>246.19</v>
      </c>
      <c r="F84" s="191">
        <v>238.82</v>
      </c>
      <c r="G84" s="191">
        <v>247</v>
      </c>
      <c r="H84" s="191">
        <v>252.92</v>
      </c>
      <c r="I84" s="191">
        <v>267</v>
      </c>
      <c r="J84" s="191">
        <v>274.08999999999997</v>
      </c>
      <c r="K84" s="191">
        <v>284.3</v>
      </c>
      <c r="L84" s="191">
        <v>283.81</v>
      </c>
      <c r="M84" s="191">
        <v>284.2</v>
      </c>
    </row>
    <row r="85" spans="1:13" s="192" customFormat="1" ht="13.5" thickBot="1" x14ac:dyDescent="0.25">
      <c r="A85" s="189">
        <v>41004</v>
      </c>
      <c r="B85" s="190" t="s">
        <v>224</v>
      </c>
      <c r="C85" s="191">
        <v>1049.51</v>
      </c>
      <c r="D85" s="191">
        <v>1055.51</v>
      </c>
      <c r="E85" s="191">
        <v>1079</v>
      </c>
      <c r="F85" s="191">
        <v>1123.75</v>
      </c>
      <c r="G85" s="191">
        <v>1141.02</v>
      </c>
      <c r="H85" s="191">
        <v>1135.53</v>
      </c>
      <c r="I85" s="191">
        <v>1137.8399999999999</v>
      </c>
      <c r="J85" s="191">
        <v>1157.28</v>
      </c>
      <c r="K85" s="191">
        <v>1151.94</v>
      </c>
      <c r="L85" s="191">
        <v>1125.97</v>
      </c>
      <c r="M85" s="191">
        <v>1142.01</v>
      </c>
    </row>
    <row r="86" spans="1:13" s="192" customFormat="1" ht="13.5" thickBot="1" x14ac:dyDescent="0.25">
      <c r="A86" s="189">
        <v>44002</v>
      </c>
      <c r="B86" s="190" t="s">
        <v>225</v>
      </c>
      <c r="C86" s="191">
        <v>196</v>
      </c>
      <c r="D86" s="191">
        <v>185</v>
      </c>
      <c r="E86" s="191">
        <v>203</v>
      </c>
      <c r="F86" s="191">
        <v>200</v>
      </c>
      <c r="G86" s="191">
        <v>217</v>
      </c>
      <c r="H86" s="191">
        <v>212</v>
      </c>
      <c r="I86" s="191">
        <v>210</v>
      </c>
      <c r="J86" s="191">
        <v>197</v>
      </c>
      <c r="K86" s="191">
        <v>192</v>
      </c>
      <c r="L86" s="191">
        <v>195</v>
      </c>
      <c r="M86" s="191">
        <v>193</v>
      </c>
    </row>
    <row r="87" spans="1:13" s="192" customFormat="1" ht="13.5" thickBot="1" x14ac:dyDescent="0.25">
      <c r="A87" s="189">
        <v>42001</v>
      </c>
      <c r="B87" s="190" t="s">
        <v>226</v>
      </c>
      <c r="C87" s="191">
        <v>388</v>
      </c>
      <c r="D87" s="191">
        <v>410</v>
      </c>
      <c r="E87" s="191">
        <v>366</v>
      </c>
      <c r="F87" s="191">
        <v>366</v>
      </c>
      <c r="G87" s="191">
        <v>350</v>
      </c>
      <c r="H87" s="191">
        <v>353</v>
      </c>
      <c r="I87" s="191">
        <v>352</v>
      </c>
      <c r="J87" s="191">
        <v>345</v>
      </c>
      <c r="K87" s="191">
        <v>345</v>
      </c>
      <c r="L87" s="191">
        <v>309</v>
      </c>
      <c r="M87" s="191">
        <v>312</v>
      </c>
    </row>
    <row r="88" spans="1:13" s="192" customFormat="1" ht="13.5" thickBot="1" x14ac:dyDescent="0.25">
      <c r="A88" s="189">
        <v>39002</v>
      </c>
      <c r="B88" s="190" t="s">
        <v>227</v>
      </c>
      <c r="C88" s="191">
        <v>1160.8399999999999</v>
      </c>
      <c r="D88" s="191">
        <v>1162.77</v>
      </c>
      <c r="E88" s="191">
        <v>1222.3</v>
      </c>
      <c r="F88" s="191">
        <v>1205.8</v>
      </c>
      <c r="G88" s="191">
        <v>1171.27</v>
      </c>
      <c r="H88" s="191">
        <v>1129.6199999999999</v>
      </c>
      <c r="I88" s="191">
        <v>1139.21</v>
      </c>
      <c r="J88" s="191">
        <v>1153.27</v>
      </c>
      <c r="K88" s="191">
        <v>1194.97</v>
      </c>
      <c r="L88" s="191">
        <v>1172.18</v>
      </c>
      <c r="M88" s="191">
        <v>1182.55</v>
      </c>
    </row>
    <row r="89" spans="1:13" s="192" customFormat="1" ht="13.5" thickBot="1" x14ac:dyDescent="0.25">
      <c r="A89" s="189">
        <v>60003</v>
      </c>
      <c r="B89" s="190" t="s">
        <v>228</v>
      </c>
      <c r="C89" s="191">
        <v>191</v>
      </c>
      <c r="D89" s="191">
        <v>183.9</v>
      </c>
      <c r="E89" s="191">
        <v>174.2</v>
      </c>
      <c r="F89" s="191">
        <v>167</v>
      </c>
      <c r="G89" s="191">
        <v>177</v>
      </c>
      <c r="H89" s="191">
        <v>178.72</v>
      </c>
      <c r="I89" s="191">
        <v>195</v>
      </c>
      <c r="J89" s="191">
        <v>192</v>
      </c>
      <c r="K89" s="191">
        <v>203</v>
      </c>
      <c r="L89" s="191">
        <v>203</v>
      </c>
      <c r="M89" s="191">
        <v>177</v>
      </c>
    </row>
    <row r="90" spans="1:13" s="192" customFormat="1" ht="13.5" thickBot="1" x14ac:dyDescent="0.25">
      <c r="A90" s="189">
        <v>43007</v>
      </c>
      <c r="B90" s="190" t="s">
        <v>229</v>
      </c>
      <c r="C90" s="191">
        <v>359.57</v>
      </c>
      <c r="D90" s="191">
        <v>378.54</v>
      </c>
      <c r="E90" s="191">
        <v>378.32</v>
      </c>
      <c r="F90" s="191">
        <v>377.91</v>
      </c>
      <c r="G90" s="191">
        <v>397.37</v>
      </c>
      <c r="H90" s="191">
        <v>398.68</v>
      </c>
      <c r="I90" s="191">
        <v>403.89</v>
      </c>
      <c r="J90" s="191">
        <v>406.58</v>
      </c>
      <c r="K90" s="191">
        <v>437.51</v>
      </c>
      <c r="L90" s="191">
        <v>421.63</v>
      </c>
      <c r="M90" s="191">
        <v>415.76</v>
      </c>
    </row>
    <row r="91" spans="1:13" s="192" customFormat="1" ht="13.5" thickBot="1" x14ac:dyDescent="0.25">
      <c r="A91" s="189">
        <v>15001</v>
      </c>
      <c r="B91" s="190" t="s">
        <v>230</v>
      </c>
      <c r="C91" s="191">
        <v>152</v>
      </c>
      <c r="D91" s="191">
        <v>161</v>
      </c>
      <c r="E91" s="191">
        <v>177</v>
      </c>
      <c r="F91" s="191">
        <v>171</v>
      </c>
      <c r="G91" s="191">
        <v>160</v>
      </c>
      <c r="H91" s="191">
        <v>138</v>
      </c>
      <c r="I91" s="191">
        <v>148</v>
      </c>
      <c r="J91" s="191">
        <v>128</v>
      </c>
      <c r="K91" s="191">
        <v>122</v>
      </c>
      <c r="L91" s="191">
        <v>122</v>
      </c>
      <c r="M91" s="191">
        <v>136</v>
      </c>
    </row>
    <row r="92" spans="1:13" s="192" customFormat="1" ht="13.5" thickBot="1" x14ac:dyDescent="0.25">
      <c r="A92" s="189">
        <v>15002</v>
      </c>
      <c r="B92" s="190" t="s">
        <v>231</v>
      </c>
      <c r="C92" s="191">
        <v>465</v>
      </c>
      <c r="D92" s="191">
        <v>457.5</v>
      </c>
      <c r="E92" s="191">
        <v>441.36</v>
      </c>
      <c r="F92" s="191">
        <v>444.87</v>
      </c>
      <c r="G92" s="191">
        <v>433.5</v>
      </c>
      <c r="H92" s="191">
        <v>442.5</v>
      </c>
      <c r="I92" s="191">
        <v>416</v>
      </c>
      <c r="J92" s="191">
        <v>421.67</v>
      </c>
      <c r="K92" s="191">
        <v>408.4</v>
      </c>
      <c r="L92" s="191">
        <v>429.4</v>
      </c>
      <c r="M92" s="191">
        <v>387.8</v>
      </c>
    </row>
    <row r="93" spans="1:13" s="192" customFormat="1" ht="13.5" thickBot="1" x14ac:dyDescent="0.25">
      <c r="A93" s="189">
        <v>46001</v>
      </c>
      <c r="B93" s="190" t="s">
        <v>232</v>
      </c>
      <c r="C93" s="191">
        <v>2681.76</v>
      </c>
      <c r="D93" s="191">
        <v>2832.79</v>
      </c>
      <c r="E93" s="191">
        <v>2825.25</v>
      </c>
      <c r="F93" s="191">
        <v>2878.35</v>
      </c>
      <c r="G93" s="191">
        <v>2967.04</v>
      </c>
      <c r="H93" s="191">
        <v>3003.11</v>
      </c>
      <c r="I93" s="191">
        <v>3080.14</v>
      </c>
      <c r="J93" s="191">
        <v>3059.81</v>
      </c>
      <c r="K93" s="191">
        <v>3028.37</v>
      </c>
      <c r="L93" s="191">
        <v>3028.77</v>
      </c>
      <c r="M93" s="191">
        <v>2947.56</v>
      </c>
    </row>
    <row r="94" spans="1:13" s="192" customFormat="1" ht="13.5" thickBot="1" x14ac:dyDescent="0.25">
      <c r="A94" s="189">
        <v>33002</v>
      </c>
      <c r="B94" s="190" t="s">
        <v>233</v>
      </c>
      <c r="C94" s="191">
        <v>281</v>
      </c>
      <c r="D94" s="191">
        <v>280</v>
      </c>
      <c r="E94" s="191">
        <v>280</v>
      </c>
      <c r="F94" s="191">
        <v>277</v>
      </c>
      <c r="G94" s="191">
        <v>271</v>
      </c>
      <c r="H94" s="191">
        <v>283</v>
      </c>
      <c r="I94" s="191">
        <v>270</v>
      </c>
      <c r="J94" s="191">
        <v>275</v>
      </c>
      <c r="K94" s="191">
        <v>251</v>
      </c>
      <c r="L94" s="191">
        <v>252</v>
      </c>
      <c r="M94" s="191">
        <v>246.8</v>
      </c>
    </row>
    <row r="95" spans="1:13" s="192" customFormat="1" ht="13.5" thickBot="1" x14ac:dyDescent="0.25">
      <c r="A95" s="189">
        <v>25004</v>
      </c>
      <c r="B95" s="190" t="s">
        <v>234</v>
      </c>
      <c r="C95" s="191">
        <v>908.8</v>
      </c>
      <c r="D95" s="191">
        <v>932.3</v>
      </c>
      <c r="E95" s="191">
        <v>958.25</v>
      </c>
      <c r="F95" s="191">
        <v>987.2</v>
      </c>
      <c r="G95" s="191">
        <v>991.99</v>
      </c>
      <c r="H95" s="191">
        <v>978.98</v>
      </c>
      <c r="I95" s="191">
        <v>970.46</v>
      </c>
      <c r="J95" s="191">
        <v>1006.97</v>
      </c>
      <c r="K95" s="191">
        <v>1009.17</v>
      </c>
      <c r="L95" s="191">
        <v>974.83</v>
      </c>
      <c r="M95" s="191">
        <v>1021.43</v>
      </c>
    </row>
    <row r="96" spans="1:13" s="192" customFormat="1" ht="13.5" thickBot="1" x14ac:dyDescent="0.25">
      <c r="A96" s="189">
        <v>29004</v>
      </c>
      <c r="B96" s="190" t="s">
        <v>301</v>
      </c>
      <c r="C96" s="191">
        <v>457.07</v>
      </c>
      <c r="D96" s="191">
        <v>456.2</v>
      </c>
      <c r="E96" s="191">
        <v>465.05</v>
      </c>
      <c r="F96" s="191">
        <v>453.04</v>
      </c>
      <c r="G96" s="191">
        <v>443.01</v>
      </c>
      <c r="H96" s="191">
        <v>424.03</v>
      </c>
      <c r="I96" s="191">
        <v>447</v>
      </c>
      <c r="J96" s="191">
        <v>457.02</v>
      </c>
      <c r="K96" s="191">
        <v>470.03</v>
      </c>
      <c r="L96" s="191">
        <v>483.54</v>
      </c>
      <c r="M96" s="191">
        <v>465.03</v>
      </c>
    </row>
    <row r="97" spans="1:13" s="192" customFormat="1" ht="13.5" thickBot="1" x14ac:dyDescent="0.25">
      <c r="A97" s="189">
        <v>17002</v>
      </c>
      <c r="B97" s="190" t="s">
        <v>236</v>
      </c>
      <c r="C97" s="191">
        <v>2785.05</v>
      </c>
      <c r="D97" s="191">
        <v>2783.9</v>
      </c>
      <c r="E97" s="191">
        <v>2791.14</v>
      </c>
      <c r="F97" s="191">
        <v>2795.95</v>
      </c>
      <c r="G97" s="191">
        <v>2783.6400000000003</v>
      </c>
      <c r="H97" s="191">
        <v>2801.72</v>
      </c>
      <c r="I97" s="191">
        <v>2747.4</v>
      </c>
      <c r="J97" s="191">
        <v>2729.9</v>
      </c>
      <c r="K97" s="191">
        <v>2732.77</v>
      </c>
      <c r="L97" s="191">
        <v>2636.43</v>
      </c>
      <c r="M97" s="191">
        <v>2583.56</v>
      </c>
    </row>
    <row r="98" spans="1:13" s="192" customFormat="1" ht="13.5" thickBot="1" x14ac:dyDescent="0.25">
      <c r="A98" s="189">
        <v>62006</v>
      </c>
      <c r="B98" s="190" t="s">
        <v>237</v>
      </c>
      <c r="C98" s="191">
        <v>682.26</v>
      </c>
      <c r="D98" s="191">
        <v>660.42</v>
      </c>
      <c r="E98" s="191">
        <v>627.02</v>
      </c>
      <c r="F98" s="191">
        <v>618.41999999999996</v>
      </c>
      <c r="G98" s="191">
        <v>603.86</v>
      </c>
      <c r="H98" s="191">
        <v>621.14</v>
      </c>
      <c r="I98" s="191">
        <v>621</v>
      </c>
      <c r="J98" s="191">
        <v>575</v>
      </c>
      <c r="K98" s="191">
        <v>593.14</v>
      </c>
      <c r="L98" s="191">
        <v>598.72</v>
      </c>
      <c r="M98" s="191">
        <v>584.29999999999995</v>
      </c>
    </row>
    <row r="99" spans="1:13" s="192" customFormat="1" ht="13.5" thickBot="1" x14ac:dyDescent="0.25">
      <c r="A99" s="189">
        <v>43002</v>
      </c>
      <c r="B99" s="190" t="s">
        <v>238</v>
      </c>
      <c r="C99" s="191">
        <v>239</v>
      </c>
      <c r="D99" s="191">
        <v>244</v>
      </c>
      <c r="E99" s="191">
        <v>249</v>
      </c>
      <c r="F99" s="191">
        <v>239</v>
      </c>
      <c r="G99" s="191">
        <v>245</v>
      </c>
      <c r="H99" s="191">
        <v>236</v>
      </c>
      <c r="I99" s="191">
        <v>243</v>
      </c>
      <c r="J99" s="191">
        <v>253.12</v>
      </c>
      <c r="K99" s="191">
        <v>255</v>
      </c>
      <c r="L99" s="191">
        <v>257</v>
      </c>
      <c r="M99" s="191">
        <v>252</v>
      </c>
    </row>
    <row r="100" spans="1:13" s="192" customFormat="1" ht="13.5" thickBot="1" x14ac:dyDescent="0.25">
      <c r="A100" s="189">
        <v>17003</v>
      </c>
      <c r="B100" s="190" t="s">
        <v>239</v>
      </c>
      <c r="C100" s="191">
        <v>205</v>
      </c>
      <c r="D100" s="191">
        <v>200</v>
      </c>
      <c r="E100" s="191">
        <v>215</v>
      </c>
      <c r="F100" s="191">
        <v>213</v>
      </c>
      <c r="G100" s="191">
        <v>228</v>
      </c>
      <c r="H100" s="191">
        <v>220.2</v>
      </c>
      <c r="I100" s="191">
        <v>256</v>
      </c>
      <c r="J100" s="191">
        <v>261</v>
      </c>
      <c r="K100" s="191">
        <v>251</v>
      </c>
      <c r="L100" s="191">
        <v>244</v>
      </c>
      <c r="M100" s="191">
        <v>246</v>
      </c>
    </row>
    <row r="101" spans="1:13" s="192" customFormat="1" ht="13.5" thickBot="1" x14ac:dyDescent="0.25">
      <c r="A101" s="189">
        <v>51003</v>
      </c>
      <c r="B101" s="190" t="s">
        <v>240</v>
      </c>
      <c r="C101" s="191">
        <v>258</v>
      </c>
      <c r="D101" s="191">
        <v>246</v>
      </c>
      <c r="E101" s="191">
        <v>237</v>
      </c>
      <c r="F101" s="191">
        <v>237</v>
      </c>
      <c r="G101" s="191">
        <v>249</v>
      </c>
      <c r="H101" s="191">
        <v>268</v>
      </c>
      <c r="I101" s="191">
        <v>287</v>
      </c>
      <c r="J101" s="191">
        <v>291</v>
      </c>
      <c r="K101" s="191">
        <v>274</v>
      </c>
      <c r="L101" s="191">
        <v>280.08</v>
      </c>
      <c r="M101" s="191">
        <v>263.22000000000003</v>
      </c>
    </row>
    <row r="102" spans="1:13" s="192" customFormat="1" ht="13.5" thickBot="1" x14ac:dyDescent="0.25">
      <c r="A102" s="189">
        <v>9002</v>
      </c>
      <c r="B102" s="190" t="s">
        <v>241</v>
      </c>
      <c r="C102" s="191">
        <v>288.72000000000003</v>
      </c>
      <c r="D102" s="191">
        <v>297.47000000000003</v>
      </c>
      <c r="E102" s="191">
        <v>292</v>
      </c>
      <c r="F102" s="191">
        <v>285</v>
      </c>
      <c r="G102" s="191">
        <v>259.38</v>
      </c>
      <c r="H102" s="191">
        <v>255.49</v>
      </c>
      <c r="I102" s="191">
        <v>247.47</v>
      </c>
      <c r="J102" s="191">
        <v>269</v>
      </c>
      <c r="K102" s="191">
        <v>223.91</v>
      </c>
      <c r="L102" s="191">
        <v>215</v>
      </c>
      <c r="M102" s="191">
        <v>192.67</v>
      </c>
    </row>
    <row r="103" spans="1:13" s="192" customFormat="1" ht="13.5" thickBot="1" x14ac:dyDescent="0.25">
      <c r="A103" s="189">
        <v>56007</v>
      </c>
      <c r="B103" s="190" t="s">
        <v>242</v>
      </c>
      <c r="C103" s="191">
        <v>243</v>
      </c>
      <c r="D103" s="191">
        <v>227</v>
      </c>
      <c r="E103" s="191">
        <v>254</v>
      </c>
      <c r="F103" s="191">
        <v>266</v>
      </c>
      <c r="G103" s="191">
        <v>296</v>
      </c>
      <c r="H103" s="191">
        <v>309</v>
      </c>
      <c r="I103" s="191">
        <v>303</v>
      </c>
      <c r="J103" s="191">
        <v>318.60000000000002</v>
      </c>
      <c r="K103" s="191">
        <v>346.1</v>
      </c>
      <c r="L103" s="191">
        <v>374.1</v>
      </c>
      <c r="M103" s="191">
        <v>380</v>
      </c>
    </row>
    <row r="104" spans="1:13" s="192" customFormat="1" ht="13.5" thickBot="1" x14ac:dyDescent="0.25">
      <c r="A104" s="189">
        <v>23003</v>
      </c>
      <c r="B104" s="190" t="s">
        <v>243</v>
      </c>
      <c r="C104" s="191">
        <v>98</v>
      </c>
      <c r="D104" s="191">
        <v>136</v>
      </c>
      <c r="E104" s="191">
        <v>134</v>
      </c>
      <c r="F104" s="191">
        <v>136</v>
      </c>
      <c r="G104" s="191">
        <v>121</v>
      </c>
      <c r="H104" s="191">
        <v>128</v>
      </c>
      <c r="I104" s="191">
        <v>139</v>
      </c>
      <c r="J104" s="191">
        <v>115</v>
      </c>
      <c r="K104" s="191">
        <v>106</v>
      </c>
      <c r="L104" s="191">
        <v>113</v>
      </c>
      <c r="M104" s="191">
        <v>106</v>
      </c>
    </row>
    <row r="105" spans="1:13" s="192" customFormat="1" ht="13.5" thickBot="1" x14ac:dyDescent="0.25">
      <c r="A105" s="189">
        <v>65001</v>
      </c>
      <c r="B105" s="190" t="s">
        <v>293</v>
      </c>
      <c r="C105" s="191">
        <v>1438.18</v>
      </c>
      <c r="D105" s="191">
        <v>1402.8</v>
      </c>
      <c r="E105" s="191">
        <v>1371.56</v>
      </c>
      <c r="F105" s="191">
        <v>1314.96</v>
      </c>
      <c r="G105" s="191">
        <v>1287.8400000000001</v>
      </c>
      <c r="H105" s="191">
        <v>1757.26</v>
      </c>
      <c r="I105" s="191">
        <v>1752.6</v>
      </c>
      <c r="J105" s="191">
        <v>1727.9</v>
      </c>
      <c r="K105" s="191">
        <v>1782.3</v>
      </c>
      <c r="L105" s="191">
        <v>1632.22</v>
      </c>
      <c r="M105" s="191">
        <v>1632.46</v>
      </c>
    </row>
    <row r="106" spans="1:13" s="192" customFormat="1" ht="13.5" thickBot="1" x14ac:dyDescent="0.25">
      <c r="A106" s="189">
        <v>39006</v>
      </c>
      <c r="B106" s="190" t="s">
        <v>410</v>
      </c>
      <c r="C106" s="191"/>
      <c r="D106" s="191"/>
      <c r="E106" s="191"/>
      <c r="F106" s="191"/>
      <c r="G106" s="191"/>
      <c r="H106" s="191"/>
      <c r="I106" s="191"/>
      <c r="J106" s="191"/>
      <c r="K106" s="191">
        <v>312</v>
      </c>
      <c r="L106" s="191">
        <v>274</v>
      </c>
      <c r="M106" s="191">
        <v>194</v>
      </c>
    </row>
    <row r="107" spans="1:13" s="192" customFormat="1" ht="13.5" thickBot="1" x14ac:dyDescent="0.25">
      <c r="A107" s="189">
        <v>60004</v>
      </c>
      <c r="B107" s="190" t="s">
        <v>246</v>
      </c>
      <c r="C107" s="191">
        <v>392.4</v>
      </c>
      <c r="D107" s="191">
        <v>419</v>
      </c>
      <c r="E107" s="191">
        <v>442</v>
      </c>
      <c r="F107" s="191">
        <v>437</v>
      </c>
      <c r="G107" s="191">
        <v>462</v>
      </c>
      <c r="H107" s="191">
        <v>477</v>
      </c>
      <c r="I107" s="191">
        <v>481.2</v>
      </c>
      <c r="J107" s="191">
        <v>485</v>
      </c>
      <c r="K107" s="191">
        <v>462.91</v>
      </c>
      <c r="L107" s="191">
        <v>453.78</v>
      </c>
      <c r="M107" s="191">
        <v>461.17</v>
      </c>
    </row>
    <row r="108" spans="1:13" s="192" customFormat="1" ht="13.5" thickBot="1" x14ac:dyDescent="0.25">
      <c r="A108" s="189">
        <v>33003</v>
      </c>
      <c r="B108" s="190" t="s">
        <v>247</v>
      </c>
      <c r="C108" s="191">
        <v>530.77</v>
      </c>
      <c r="D108" s="191">
        <v>516.69000000000005</v>
      </c>
      <c r="E108" s="191">
        <v>521.03</v>
      </c>
      <c r="F108" s="191">
        <v>534</v>
      </c>
      <c r="G108" s="191">
        <v>542</v>
      </c>
      <c r="H108" s="191">
        <v>529</v>
      </c>
      <c r="I108" s="191">
        <v>514.4</v>
      </c>
      <c r="J108" s="191">
        <v>544.1</v>
      </c>
      <c r="K108" s="191">
        <v>543.1</v>
      </c>
      <c r="L108" s="191">
        <v>535.20000000000005</v>
      </c>
      <c r="M108" s="191">
        <v>530.20000000000005</v>
      </c>
    </row>
    <row r="109" spans="1:13" s="192" customFormat="1" ht="13.5" thickBot="1" x14ac:dyDescent="0.25">
      <c r="A109" s="189">
        <v>32002</v>
      </c>
      <c r="B109" s="190" t="s">
        <v>248</v>
      </c>
      <c r="C109" s="191">
        <v>2664.56</v>
      </c>
      <c r="D109" s="191">
        <v>2682.24</v>
      </c>
      <c r="E109" s="191">
        <v>2716.42</v>
      </c>
      <c r="F109" s="191">
        <v>2669</v>
      </c>
      <c r="G109" s="191">
        <v>2789.66</v>
      </c>
      <c r="H109" s="191">
        <v>2778.97</v>
      </c>
      <c r="I109" s="191">
        <v>2815.88</v>
      </c>
      <c r="J109" s="191">
        <v>2779.44</v>
      </c>
      <c r="K109" s="191">
        <v>2699.13</v>
      </c>
      <c r="L109" s="191">
        <v>2761.1</v>
      </c>
      <c r="M109" s="191">
        <v>2639.48</v>
      </c>
    </row>
    <row r="110" spans="1:13" s="192" customFormat="1" ht="13.5" thickBot="1" x14ac:dyDescent="0.25">
      <c r="A110" s="189">
        <v>1001</v>
      </c>
      <c r="B110" s="190" t="s">
        <v>249</v>
      </c>
      <c r="C110" s="191">
        <v>338</v>
      </c>
      <c r="D110" s="191">
        <v>309</v>
      </c>
      <c r="E110" s="191">
        <v>299</v>
      </c>
      <c r="F110" s="191">
        <v>341</v>
      </c>
      <c r="G110" s="191">
        <v>317</v>
      </c>
      <c r="H110" s="191">
        <v>279</v>
      </c>
      <c r="I110" s="191">
        <v>286</v>
      </c>
      <c r="J110" s="191">
        <v>268</v>
      </c>
      <c r="K110" s="191">
        <v>285</v>
      </c>
      <c r="L110" s="191">
        <v>266.5</v>
      </c>
      <c r="M110" s="191">
        <v>247</v>
      </c>
    </row>
    <row r="111" spans="1:13" s="192" customFormat="1" ht="13.5" thickBot="1" x14ac:dyDescent="0.25">
      <c r="A111" s="189">
        <v>11005</v>
      </c>
      <c r="B111" s="190" t="s">
        <v>250</v>
      </c>
      <c r="C111" s="191">
        <v>484.05</v>
      </c>
      <c r="D111" s="191">
        <v>500.08</v>
      </c>
      <c r="E111" s="191">
        <v>503.4</v>
      </c>
      <c r="F111" s="191">
        <v>503.37</v>
      </c>
      <c r="G111" s="191">
        <v>501.71</v>
      </c>
      <c r="H111" s="191">
        <v>504.2</v>
      </c>
      <c r="I111" s="191">
        <v>500.63</v>
      </c>
      <c r="J111" s="191">
        <v>512.65</v>
      </c>
      <c r="K111" s="191">
        <v>513</v>
      </c>
      <c r="L111" s="191">
        <v>524.45000000000005</v>
      </c>
      <c r="M111" s="191">
        <v>521.86</v>
      </c>
    </row>
    <row r="112" spans="1:13" s="192" customFormat="1" ht="13.5" thickBot="1" x14ac:dyDescent="0.25">
      <c r="A112" s="189">
        <v>51004</v>
      </c>
      <c r="B112" s="190" t="s">
        <v>251</v>
      </c>
      <c r="C112" s="191">
        <v>13638.6</v>
      </c>
      <c r="D112" s="191">
        <v>13656.02</v>
      </c>
      <c r="E112" s="191">
        <v>13628.25</v>
      </c>
      <c r="F112" s="191">
        <v>13679.67</v>
      </c>
      <c r="G112" s="191">
        <v>13483.95</v>
      </c>
      <c r="H112" s="191">
        <v>12671.53</v>
      </c>
      <c r="I112" s="191">
        <v>12711.2</v>
      </c>
      <c r="J112" s="191">
        <v>12665.26</v>
      </c>
      <c r="K112" s="191">
        <v>12419.76</v>
      </c>
      <c r="L112" s="191">
        <v>12194.82</v>
      </c>
      <c r="M112" s="191">
        <v>11947.25</v>
      </c>
    </row>
    <row r="113" spans="1:13" s="192" customFormat="1" ht="13.5" thickBot="1" x14ac:dyDescent="0.25">
      <c r="A113" s="189">
        <v>56004</v>
      </c>
      <c r="B113" s="190" t="s">
        <v>252</v>
      </c>
      <c r="C113" s="191">
        <v>600.54999999999995</v>
      </c>
      <c r="D113" s="191">
        <v>617.35</v>
      </c>
      <c r="E113" s="191">
        <v>592.05999999999995</v>
      </c>
      <c r="F113" s="191">
        <v>591.65</v>
      </c>
      <c r="G113" s="191">
        <v>584.4</v>
      </c>
      <c r="H113" s="191">
        <v>560.15</v>
      </c>
      <c r="I113" s="191">
        <v>547.20000000000005</v>
      </c>
      <c r="J113" s="191">
        <v>529.1</v>
      </c>
      <c r="K113" s="191">
        <v>510.15</v>
      </c>
      <c r="L113" s="191">
        <v>499.45</v>
      </c>
      <c r="M113" s="191">
        <v>502.58</v>
      </c>
    </row>
    <row r="114" spans="1:13" s="192" customFormat="1" ht="13.5" thickBot="1" x14ac:dyDescent="0.25">
      <c r="A114" s="189">
        <v>54004</v>
      </c>
      <c r="B114" s="190" t="s">
        <v>253</v>
      </c>
      <c r="C114" s="191">
        <v>230</v>
      </c>
      <c r="D114" s="191">
        <v>229</v>
      </c>
      <c r="E114" s="191">
        <v>244</v>
      </c>
      <c r="F114" s="191">
        <v>249</v>
      </c>
      <c r="G114" s="191">
        <v>243</v>
      </c>
      <c r="H114" s="191">
        <v>241</v>
      </c>
      <c r="I114" s="191">
        <v>242</v>
      </c>
      <c r="J114" s="191">
        <v>232</v>
      </c>
      <c r="K114" s="191">
        <v>228</v>
      </c>
      <c r="L114" s="191">
        <v>225</v>
      </c>
      <c r="M114" s="191">
        <v>213</v>
      </c>
    </row>
    <row r="115" spans="1:13" s="192" customFormat="1" ht="13.5" thickBot="1" x14ac:dyDescent="0.25">
      <c r="A115" s="189">
        <v>55005</v>
      </c>
      <c r="B115" s="190" t="s">
        <v>255</v>
      </c>
      <c r="C115" s="191">
        <v>183</v>
      </c>
      <c r="D115" s="191">
        <v>190</v>
      </c>
      <c r="E115" s="191">
        <v>180</v>
      </c>
      <c r="F115" s="191">
        <v>189</v>
      </c>
      <c r="G115" s="191">
        <v>179</v>
      </c>
      <c r="H115" s="191">
        <v>184</v>
      </c>
      <c r="I115" s="191">
        <v>207</v>
      </c>
      <c r="J115" s="191">
        <v>200</v>
      </c>
      <c r="K115" s="191">
        <v>198</v>
      </c>
      <c r="L115" s="191">
        <v>205</v>
      </c>
      <c r="M115" s="191">
        <v>209</v>
      </c>
    </row>
    <row r="116" spans="1:13" s="192" customFormat="1" ht="13.5" thickBot="1" x14ac:dyDescent="0.25">
      <c r="A116" s="189">
        <v>4003</v>
      </c>
      <c r="B116" s="190" t="s">
        <v>256</v>
      </c>
      <c r="C116" s="191">
        <v>252</v>
      </c>
      <c r="D116" s="191">
        <v>267</v>
      </c>
      <c r="E116" s="191">
        <v>266</v>
      </c>
      <c r="F116" s="191">
        <v>253</v>
      </c>
      <c r="G116" s="191">
        <v>256</v>
      </c>
      <c r="H116" s="191">
        <v>253</v>
      </c>
      <c r="I116" s="191">
        <v>261</v>
      </c>
      <c r="J116" s="191">
        <v>267.88</v>
      </c>
      <c r="K116" s="191">
        <v>254.42</v>
      </c>
      <c r="L116" s="191">
        <v>241.39</v>
      </c>
      <c r="M116" s="191">
        <v>244.76</v>
      </c>
    </row>
    <row r="117" spans="1:13" s="192" customFormat="1" ht="13.5" thickBot="1" x14ac:dyDescent="0.25">
      <c r="A117" s="189">
        <v>62005</v>
      </c>
      <c r="B117" s="190" t="s">
        <v>292</v>
      </c>
      <c r="C117" s="191">
        <v>177</v>
      </c>
      <c r="D117" s="191">
        <v>193</v>
      </c>
      <c r="E117" s="191">
        <v>184</v>
      </c>
      <c r="F117" s="191">
        <v>183</v>
      </c>
      <c r="G117" s="191">
        <v>173</v>
      </c>
      <c r="H117" s="191">
        <v>166</v>
      </c>
      <c r="I117" s="191">
        <v>170</v>
      </c>
      <c r="J117" s="191">
        <v>173</v>
      </c>
      <c r="K117" s="191">
        <v>176</v>
      </c>
      <c r="L117" s="191">
        <v>181</v>
      </c>
      <c r="M117" s="191">
        <v>177</v>
      </c>
    </row>
    <row r="118" spans="1:13" s="192" customFormat="1" ht="13.5" thickBot="1" x14ac:dyDescent="0.25">
      <c r="A118" s="189">
        <v>49005</v>
      </c>
      <c r="B118" s="190" t="s">
        <v>258</v>
      </c>
      <c r="C118" s="191">
        <v>23354.89</v>
      </c>
      <c r="D118" s="191">
        <v>23744.41</v>
      </c>
      <c r="E118" s="191">
        <v>23924.25</v>
      </c>
      <c r="F118" s="191">
        <v>24024.78</v>
      </c>
      <c r="G118" s="191">
        <v>24331.31</v>
      </c>
      <c r="H118" s="191">
        <v>24009.49</v>
      </c>
      <c r="I118" s="191">
        <v>24080.560000000001</v>
      </c>
      <c r="J118" s="191">
        <v>24343.57</v>
      </c>
      <c r="K118" s="191">
        <v>24447.69</v>
      </c>
      <c r="L118" s="191">
        <v>24330.61</v>
      </c>
      <c r="M118" s="191">
        <v>24136.59</v>
      </c>
    </row>
    <row r="119" spans="1:13" s="192" customFormat="1" ht="13.5" thickBot="1" x14ac:dyDescent="0.25">
      <c r="A119" s="189">
        <v>5005</v>
      </c>
      <c r="B119" s="190" t="s">
        <v>259</v>
      </c>
      <c r="C119" s="191">
        <v>643.42999999999995</v>
      </c>
      <c r="D119" s="191">
        <v>674.85</v>
      </c>
      <c r="E119" s="191">
        <v>659.05</v>
      </c>
      <c r="F119" s="191">
        <v>682.67</v>
      </c>
      <c r="G119" s="191">
        <v>673.28</v>
      </c>
      <c r="H119" s="191">
        <v>670.76</v>
      </c>
      <c r="I119" s="191">
        <v>692.5</v>
      </c>
      <c r="J119" s="191">
        <v>741.63</v>
      </c>
      <c r="K119" s="191">
        <v>724.6</v>
      </c>
      <c r="L119" s="191">
        <v>743.88</v>
      </c>
      <c r="M119" s="191">
        <v>755.59</v>
      </c>
    </row>
    <row r="120" spans="1:13" s="192" customFormat="1" ht="13.5" thickBot="1" x14ac:dyDescent="0.25">
      <c r="A120" s="189">
        <v>54002</v>
      </c>
      <c r="B120" s="190" t="s">
        <v>260</v>
      </c>
      <c r="C120" s="191">
        <v>904</v>
      </c>
      <c r="D120" s="191">
        <v>894</v>
      </c>
      <c r="E120" s="191">
        <v>885</v>
      </c>
      <c r="F120" s="191">
        <v>897</v>
      </c>
      <c r="G120" s="191">
        <v>959</v>
      </c>
      <c r="H120" s="191">
        <v>918.56</v>
      </c>
      <c r="I120" s="191">
        <v>933.23</v>
      </c>
      <c r="J120" s="191">
        <v>959.38</v>
      </c>
      <c r="K120" s="191">
        <v>949</v>
      </c>
      <c r="L120" s="191">
        <v>954.15</v>
      </c>
      <c r="M120" s="191">
        <v>953</v>
      </c>
    </row>
    <row r="121" spans="1:13" s="192" customFormat="1" ht="13.5" thickBot="1" x14ac:dyDescent="0.25">
      <c r="A121" s="189">
        <v>15003</v>
      </c>
      <c r="B121" s="190" t="s">
        <v>261</v>
      </c>
      <c r="C121" s="191">
        <v>164</v>
      </c>
      <c r="D121" s="191">
        <v>173</v>
      </c>
      <c r="E121" s="191">
        <v>197</v>
      </c>
      <c r="F121" s="191">
        <v>179</v>
      </c>
      <c r="G121" s="191">
        <v>196</v>
      </c>
      <c r="H121" s="191">
        <v>198</v>
      </c>
      <c r="I121" s="191">
        <v>174.4</v>
      </c>
      <c r="J121" s="191">
        <v>189</v>
      </c>
      <c r="K121" s="191">
        <v>183</v>
      </c>
      <c r="L121" s="191">
        <v>175</v>
      </c>
      <c r="M121" s="191">
        <v>159</v>
      </c>
    </row>
    <row r="122" spans="1:13" s="192" customFormat="1" ht="13.5" thickBot="1" x14ac:dyDescent="0.25">
      <c r="A122" s="189">
        <v>26005</v>
      </c>
      <c r="B122" s="190" t="s">
        <v>262</v>
      </c>
      <c r="C122" s="191">
        <v>107</v>
      </c>
      <c r="D122" s="191">
        <v>97</v>
      </c>
      <c r="E122" s="191">
        <v>98</v>
      </c>
      <c r="F122" s="191">
        <v>86</v>
      </c>
      <c r="G122" s="191">
        <v>79</v>
      </c>
      <c r="H122" s="191">
        <v>57</v>
      </c>
      <c r="I122" s="191">
        <v>70</v>
      </c>
      <c r="J122" s="191">
        <v>70</v>
      </c>
      <c r="K122" s="191">
        <v>83</v>
      </c>
      <c r="L122" s="191">
        <v>79.069999999999993</v>
      </c>
      <c r="M122" s="191">
        <v>76</v>
      </c>
    </row>
    <row r="123" spans="1:13" s="192" customFormat="1" ht="13.5" thickBot="1" x14ac:dyDescent="0.25">
      <c r="A123" s="189">
        <v>40002</v>
      </c>
      <c r="B123" s="190" t="s">
        <v>263</v>
      </c>
      <c r="C123" s="191">
        <v>2237.0100000000002</v>
      </c>
      <c r="D123" s="191">
        <v>2327.85</v>
      </c>
      <c r="E123" s="191">
        <v>2398.14</v>
      </c>
      <c r="F123" s="191">
        <v>2390.0700000000002</v>
      </c>
      <c r="G123" s="191">
        <v>2394.1999999999998</v>
      </c>
      <c r="H123" s="191">
        <v>2361.48</v>
      </c>
      <c r="I123" s="191">
        <v>2414.98</v>
      </c>
      <c r="J123" s="191">
        <v>2437.7199999999998</v>
      </c>
      <c r="K123" s="191">
        <v>2403.7399999999998</v>
      </c>
      <c r="L123" s="191">
        <v>2403.75</v>
      </c>
      <c r="M123" s="191">
        <v>2304.0300000000002</v>
      </c>
    </row>
    <row r="124" spans="1:13" s="192" customFormat="1" ht="13.5" thickBot="1" x14ac:dyDescent="0.25">
      <c r="A124" s="189">
        <v>57001</v>
      </c>
      <c r="B124" s="190" t="s">
        <v>264</v>
      </c>
      <c r="C124" s="191">
        <v>427</v>
      </c>
      <c r="D124" s="191">
        <v>436</v>
      </c>
      <c r="E124" s="191">
        <v>449</v>
      </c>
      <c r="F124" s="191">
        <v>435.86</v>
      </c>
      <c r="G124" s="191">
        <v>406</v>
      </c>
      <c r="H124" s="191">
        <v>415</v>
      </c>
      <c r="I124" s="191">
        <v>416</v>
      </c>
      <c r="J124" s="191">
        <v>417.8</v>
      </c>
      <c r="K124" s="191">
        <v>421.22</v>
      </c>
      <c r="L124" s="191">
        <v>436.58</v>
      </c>
      <c r="M124" s="191">
        <v>417.85</v>
      </c>
    </row>
    <row r="125" spans="1:13" s="192" customFormat="1" ht="13.5" thickBot="1" x14ac:dyDescent="0.25">
      <c r="A125" s="189">
        <v>54006</v>
      </c>
      <c r="B125" s="190" t="s">
        <v>265</v>
      </c>
      <c r="C125" s="191">
        <v>153</v>
      </c>
      <c r="D125" s="191">
        <v>143</v>
      </c>
      <c r="E125" s="191">
        <v>150</v>
      </c>
      <c r="F125" s="191">
        <v>158</v>
      </c>
      <c r="G125" s="191">
        <v>171.15</v>
      </c>
      <c r="H125" s="191">
        <v>176</v>
      </c>
      <c r="I125" s="191">
        <v>165</v>
      </c>
      <c r="J125" s="191">
        <v>174</v>
      </c>
      <c r="K125" s="191">
        <v>172</v>
      </c>
      <c r="L125" s="191">
        <v>172</v>
      </c>
      <c r="M125" s="191">
        <v>164</v>
      </c>
    </row>
    <row r="126" spans="1:13" s="192" customFormat="1" ht="13.5" thickBot="1" x14ac:dyDescent="0.25">
      <c r="A126" s="189">
        <v>41005</v>
      </c>
      <c r="B126" s="190" t="s">
        <v>266</v>
      </c>
      <c r="C126" s="191">
        <v>1608.23</v>
      </c>
      <c r="D126" s="191">
        <v>1709.51</v>
      </c>
      <c r="E126" s="191">
        <v>1791.25</v>
      </c>
      <c r="F126" s="191">
        <v>1906.5</v>
      </c>
      <c r="G126" s="191">
        <v>1962.25</v>
      </c>
      <c r="H126" s="191">
        <v>2061.25</v>
      </c>
      <c r="I126" s="191">
        <v>2174.56</v>
      </c>
      <c r="J126" s="191">
        <v>2302.5100000000002</v>
      </c>
      <c r="K126" s="191">
        <v>2428.62</v>
      </c>
      <c r="L126" s="191">
        <v>2537.25</v>
      </c>
      <c r="M126" s="191">
        <v>2536.39</v>
      </c>
    </row>
    <row r="127" spans="1:13" s="192" customFormat="1" ht="13.5" thickBot="1" x14ac:dyDescent="0.25">
      <c r="A127" s="189">
        <v>20003</v>
      </c>
      <c r="B127" s="190" t="s">
        <v>267</v>
      </c>
      <c r="C127" s="191">
        <v>329</v>
      </c>
      <c r="D127" s="191">
        <v>339</v>
      </c>
      <c r="E127" s="191">
        <v>352.29</v>
      </c>
      <c r="F127" s="191">
        <v>335</v>
      </c>
      <c r="G127" s="191">
        <v>349</v>
      </c>
      <c r="H127" s="191">
        <v>334</v>
      </c>
      <c r="I127" s="191">
        <v>339</v>
      </c>
      <c r="J127" s="191">
        <v>341</v>
      </c>
      <c r="K127" s="191">
        <v>369</v>
      </c>
      <c r="L127" s="191">
        <v>351</v>
      </c>
      <c r="M127" s="191">
        <v>346</v>
      </c>
    </row>
    <row r="128" spans="1:13" s="192" customFormat="1" ht="13.5" thickBot="1" x14ac:dyDescent="0.25">
      <c r="A128" s="189">
        <v>66001</v>
      </c>
      <c r="B128" s="190" t="s">
        <v>268</v>
      </c>
      <c r="C128" s="191">
        <v>2024.3</v>
      </c>
      <c r="D128" s="191">
        <v>2042.31</v>
      </c>
      <c r="E128" s="191">
        <v>2060.3000000000002</v>
      </c>
      <c r="F128" s="191">
        <v>2106.8000000000002</v>
      </c>
      <c r="G128" s="191">
        <v>2147.61</v>
      </c>
      <c r="H128" s="191">
        <v>2181.1</v>
      </c>
      <c r="I128" s="191">
        <v>2015.3</v>
      </c>
      <c r="J128" s="191">
        <v>2061.8000000000002</v>
      </c>
      <c r="K128" s="191">
        <v>2058.1</v>
      </c>
      <c r="L128" s="191">
        <v>1988.1</v>
      </c>
      <c r="M128" s="191">
        <v>1961.5</v>
      </c>
    </row>
    <row r="129" spans="1:13" s="192" customFormat="1" ht="13.5" thickBot="1" x14ac:dyDescent="0.25">
      <c r="A129" s="189">
        <v>33005</v>
      </c>
      <c r="B129" s="190" t="s">
        <v>269</v>
      </c>
      <c r="C129" s="191">
        <v>158</v>
      </c>
      <c r="D129" s="191">
        <v>151</v>
      </c>
      <c r="E129" s="191">
        <v>151</v>
      </c>
      <c r="F129" s="191">
        <v>130</v>
      </c>
      <c r="G129" s="191">
        <v>125</v>
      </c>
      <c r="H129" s="191">
        <v>143</v>
      </c>
      <c r="I129" s="191">
        <v>161.01</v>
      </c>
      <c r="J129" s="191">
        <v>160</v>
      </c>
      <c r="K129" s="191">
        <v>146</v>
      </c>
      <c r="L129" s="191">
        <v>154</v>
      </c>
      <c r="M129" s="191">
        <v>150</v>
      </c>
    </row>
    <row r="130" spans="1:13" s="192" customFormat="1" ht="13.5" thickBot="1" x14ac:dyDescent="0.25">
      <c r="A130" s="189">
        <v>49006</v>
      </c>
      <c r="B130" s="190" t="s">
        <v>270</v>
      </c>
      <c r="C130" s="191">
        <v>897</v>
      </c>
      <c r="D130" s="191">
        <v>908</v>
      </c>
      <c r="E130" s="191">
        <v>921</v>
      </c>
      <c r="F130" s="191">
        <v>968</v>
      </c>
      <c r="G130" s="191">
        <v>961</v>
      </c>
      <c r="H130" s="191">
        <v>987</v>
      </c>
      <c r="I130" s="191">
        <v>971.5</v>
      </c>
      <c r="J130" s="191">
        <v>951</v>
      </c>
      <c r="K130" s="191">
        <v>936.38</v>
      </c>
      <c r="L130" s="191">
        <v>956</v>
      </c>
      <c r="M130" s="191">
        <v>997.5</v>
      </c>
    </row>
    <row r="131" spans="1:13" s="192" customFormat="1" ht="13.5" thickBot="1" x14ac:dyDescent="0.25">
      <c r="A131" s="189">
        <v>13001</v>
      </c>
      <c r="B131" s="190" t="s">
        <v>271</v>
      </c>
      <c r="C131" s="191">
        <v>1204.1199999999999</v>
      </c>
      <c r="D131" s="191">
        <v>1202.3399999999999</v>
      </c>
      <c r="E131" s="191">
        <v>1219.79</v>
      </c>
      <c r="F131" s="191">
        <v>1259.26</v>
      </c>
      <c r="G131" s="191">
        <v>1260.58</v>
      </c>
      <c r="H131" s="191">
        <v>1258.6099999999999</v>
      </c>
      <c r="I131" s="191">
        <v>1344.95</v>
      </c>
      <c r="J131" s="191">
        <v>1389.98</v>
      </c>
      <c r="K131" s="191">
        <v>1393.41</v>
      </c>
      <c r="L131" s="191">
        <v>1346.3</v>
      </c>
      <c r="M131" s="191">
        <v>1305.81</v>
      </c>
    </row>
    <row r="132" spans="1:13" s="192" customFormat="1" ht="13.5" thickBot="1" x14ac:dyDescent="0.25">
      <c r="A132" s="189">
        <v>60006</v>
      </c>
      <c r="B132" s="190" t="s">
        <v>272</v>
      </c>
      <c r="C132" s="191">
        <v>331</v>
      </c>
      <c r="D132" s="191">
        <v>354</v>
      </c>
      <c r="E132" s="191">
        <v>344</v>
      </c>
      <c r="F132" s="191">
        <v>346</v>
      </c>
      <c r="G132" s="191">
        <v>343.7</v>
      </c>
      <c r="H132" s="191">
        <v>349.07</v>
      </c>
      <c r="I132" s="191">
        <v>381.17</v>
      </c>
      <c r="J132" s="191">
        <v>399.21</v>
      </c>
      <c r="K132" s="191">
        <v>384.78</v>
      </c>
      <c r="L132" s="191">
        <v>389.28</v>
      </c>
      <c r="M132" s="191">
        <v>385.8</v>
      </c>
    </row>
    <row r="133" spans="1:13" s="192" customFormat="1" ht="13.5" thickBot="1" x14ac:dyDescent="0.25">
      <c r="A133" s="189">
        <v>11004</v>
      </c>
      <c r="B133" s="190" t="s">
        <v>291</v>
      </c>
      <c r="C133" s="191">
        <v>831</v>
      </c>
      <c r="D133" s="191">
        <v>852.25</v>
      </c>
      <c r="E133" s="191">
        <v>848.99</v>
      </c>
      <c r="F133" s="191">
        <v>839</v>
      </c>
      <c r="G133" s="191">
        <v>807</v>
      </c>
      <c r="H133" s="191">
        <v>820</v>
      </c>
      <c r="I133" s="191">
        <v>800</v>
      </c>
      <c r="J133" s="191">
        <v>792</v>
      </c>
      <c r="K133" s="191">
        <v>787</v>
      </c>
      <c r="L133" s="191">
        <v>820</v>
      </c>
      <c r="M133" s="191">
        <v>841.13</v>
      </c>
    </row>
    <row r="134" spans="1:13" s="192" customFormat="1" ht="13.5" thickBot="1" x14ac:dyDescent="0.25">
      <c r="A134" s="189">
        <v>51005</v>
      </c>
      <c r="B134" s="190" t="s">
        <v>274</v>
      </c>
      <c r="C134" s="191">
        <v>255</v>
      </c>
      <c r="D134" s="191">
        <v>245</v>
      </c>
      <c r="E134" s="191">
        <v>257</v>
      </c>
      <c r="F134" s="191">
        <v>271</v>
      </c>
      <c r="G134" s="191">
        <v>284.52999999999997</v>
      </c>
      <c r="H134" s="191">
        <v>276</v>
      </c>
      <c r="I134" s="191">
        <v>268.51</v>
      </c>
      <c r="J134" s="191">
        <v>284</v>
      </c>
      <c r="K134" s="191">
        <v>279.98</v>
      </c>
      <c r="L134" s="191">
        <v>273.88</v>
      </c>
      <c r="M134" s="191">
        <v>278.16000000000003</v>
      </c>
    </row>
    <row r="135" spans="1:13" s="192" customFormat="1" ht="13.5" thickBot="1" x14ac:dyDescent="0.25">
      <c r="A135" s="189">
        <v>6005</v>
      </c>
      <c r="B135" s="190" t="s">
        <v>275</v>
      </c>
      <c r="C135" s="191">
        <v>308</v>
      </c>
      <c r="D135" s="191">
        <v>319</v>
      </c>
      <c r="E135" s="191">
        <v>313</v>
      </c>
      <c r="F135" s="191">
        <v>310</v>
      </c>
      <c r="G135" s="191">
        <v>312.69</v>
      </c>
      <c r="H135" s="191">
        <v>314.88</v>
      </c>
      <c r="I135" s="191">
        <v>315.29000000000002</v>
      </c>
      <c r="J135" s="191">
        <v>313.57</v>
      </c>
      <c r="K135" s="191">
        <v>312</v>
      </c>
      <c r="L135" s="191">
        <v>313</v>
      </c>
      <c r="M135" s="191">
        <v>311</v>
      </c>
    </row>
    <row r="136" spans="1:13" s="192" customFormat="1" ht="13.5" thickBot="1" x14ac:dyDescent="0.25">
      <c r="A136" s="189">
        <v>14004</v>
      </c>
      <c r="B136" s="190" t="s">
        <v>276</v>
      </c>
      <c r="C136" s="191">
        <f>3968.17-1</f>
        <v>3967.17</v>
      </c>
      <c r="D136" s="191">
        <v>3950.12</v>
      </c>
      <c r="E136" s="191">
        <v>3930.72</v>
      </c>
      <c r="F136" s="191">
        <v>3927.97</v>
      </c>
      <c r="G136" s="191">
        <v>3858.69</v>
      </c>
      <c r="H136" s="191">
        <v>3867.9</v>
      </c>
      <c r="I136" s="191">
        <v>3835.73</v>
      </c>
      <c r="J136" s="191">
        <v>3734.21</v>
      </c>
      <c r="K136" s="191">
        <v>3640.52</v>
      </c>
      <c r="L136" s="191">
        <v>3551.34</v>
      </c>
      <c r="M136" s="191">
        <v>3387.89</v>
      </c>
    </row>
    <row r="137" spans="1:13" s="192" customFormat="1" ht="13.5" thickBot="1" x14ac:dyDescent="0.25">
      <c r="A137" s="189">
        <v>18003</v>
      </c>
      <c r="B137" s="190" t="s">
        <v>277</v>
      </c>
      <c r="C137" s="191">
        <v>173</v>
      </c>
      <c r="D137" s="191">
        <v>169</v>
      </c>
      <c r="E137" s="191">
        <v>169</v>
      </c>
      <c r="F137" s="191">
        <v>170</v>
      </c>
      <c r="G137" s="191">
        <v>173</v>
      </c>
      <c r="H137" s="191">
        <v>184</v>
      </c>
      <c r="I137" s="191">
        <v>175</v>
      </c>
      <c r="J137" s="191">
        <v>174</v>
      </c>
      <c r="K137" s="191">
        <v>163</v>
      </c>
      <c r="L137" s="191">
        <v>168</v>
      </c>
      <c r="M137" s="191">
        <v>157.13999999999999</v>
      </c>
    </row>
    <row r="138" spans="1:13" s="192" customFormat="1" ht="13.5" thickBot="1" x14ac:dyDescent="0.25">
      <c r="A138" s="189">
        <v>14005</v>
      </c>
      <c r="B138" s="190" t="s">
        <v>278</v>
      </c>
      <c r="C138" s="191">
        <v>238</v>
      </c>
      <c r="D138" s="191">
        <v>247</v>
      </c>
      <c r="E138" s="191">
        <v>246</v>
      </c>
      <c r="F138" s="191">
        <v>235</v>
      </c>
      <c r="G138" s="191">
        <v>252</v>
      </c>
      <c r="H138" s="191">
        <v>253</v>
      </c>
      <c r="I138" s="191">
        <v>257</v>
      </c>
      <c r="J138" s="191">
        <v>254</v>
      </c>
      <c r="K138" s="191">
        <v>256</v>
      </c>
      <c r="L138" s="191">
        <v>263</v>
      </c>
      <c r="M138" s="191">
        <v>271</v>
      </c>
    </row>
    <row r="139" spans="1:13" s="192" customFormat="1" ht="13.5" thickBot="1" x14ac:dyDescent="0.25">
      <c r="A139" s="189">
        <v>18005</v>
      </c>
      <c r="B139" s="190" t="s">
        <v>279</v>
      </c>
      <c r="C139" s="191">
        <v>513</v>
      </c>
      <c r="D139" s="191">
        <v>558</v>
      </c>
      <c r="E139" s="191">
        <v>537</v>
      </c>
      <c r="F139" s="191">
        <v>542</v>
      </c>
      <c r="G139" s="191">
        <v>528</v>
      </c>
      <c r="H139" s="191">
        <v>504</v>
      </c>
      <c r="I139" s="191">
        <v>534</v>
      </c>
      <c r="J139" s="191">
        <v>527</v>
      </c>
      <c r="K139" s="191">
        <v>532.35</v>
      </c>
      <c r="L139" s="191">
        <v>540</v>
      </c>
      <c r="M139" s="191">
        <v>541</v>
      </c>
    </row>
    <row r="140" spans="1:13" s="192" customFormat="1" ht="13.5" thickBot="1" x14ac:dyDescent="0.25">
      <c r="A140" s="189">
        <v>36002</v>
      </c>
      <c r="B140" s="190" t="s">
        <v>280</v>
      </c>
      <c r="C140" s="191">
        <v>339</v>
      </c>
      <c r="D140" s="191">
        <v>328</v>
      </c>
      <c r="E140" s="191">
        <v>332</v>
      </c>
      <c r="F140" s="191">
        <v>312.18</v>
      </c>
      <c r="G140" s="191">
        <v>321.2</v>
      </c>
      <c r="H140" s="191">
        <v>376.2</v>
      </c>
      <c r="I140" s="191">
        <v>370.6</v>
      </c>
      <c r="J140" s="191">
        <v>402</v>
      </c>
      <c r="K140" s="191">
        <v>413.6</v>
      </c>
      <c r="L140" s="191">
        <v>447.48</v>
      </c>
      <c r="M140" s="191">
        <v>492.21</v>
      </c>
    </row>
    <row r="141" spans="1:13" s="192" customFormat="1" ht="13.5" thickBot="1" x14ac:dyDescent="0.25">
      <c r="A141" s="189">
        <v>49007</v>
      </c>
      <c r="B141" s="190" t="s">
        <v>281</v>
      </c>
      <c r="C141" s="191">
        <v>1375.93</v>
      </c>
      <c r="D141" s="191">
        <v>1372.56</v>
      </c>
      <c r="E141" s="191">
        <v>1364.2</v>
      </c>
      <c r="F141" s="191">
        <v>1410.25</v>
      </c>
      <c r="G141" s="191">
        <v>1379.4</v>
      </c>
      <c r="H141" s="191">
        <v>1384</v>
      </c>
      <c r="I141" s="191">
        <v>1429</v>
      </c>
      <c r="J141" s="191">
        <v>1428.13</v>
      </c>
      <c r="K141" s="191">
        <v>1422.39</v>
      </c>
      <c r="L141" s="191">
        <v>1431.08</v>
      </c>
      <c r="M141" s="191">
        <v>1397.12</v>
      </c>
    </row>
    <row r="142" spans="1:13" s="192" customFormat="1" ht="13.5" thickBot="1" x14ac:dyDescent="0.25">
      <c r="A142" s="189">
        <v>1003</v>
      </c>
      <c r="B142" s="190" t="s">
        <v>282</v>
      </c>
      <c r="C142" s="191">
        <v>110</v>
      </c>
      <c r="D142" s="191">
        <v>110</v>
      </c>
      <c r="E142" s="191">
        <v>116</v>
      </c>
      <c r="F142" s="191">
        <v>119</v>
      </c>
      <c r="G142" s="191">
        <v>125</v>
      </c>
      <c r="H142" s="191">
        <v>119</v>
      </c>
      <c r="I142" s="191">
        <v>132</v>
      </c>
      <c r="J142" s="191">
        <v>122</v>
      </c>
      <c r="K142" s="191">
        <v>117</v>
      </c>
      <c r="L142" s="191">
        <v>120</v>
      </c>
      <c r="M142" s="191">
        <v>113</v>
      </c>
    </row>
    <row r="143" spans="1:13" s="192" customFormat="1" ht="13.5" thickBot="1" x14ac:dyDescent="0.25">
      <c r="A143" s="189">
        <v>47001</v>
      </c>
      <c r="B143" s="190" t="s">
        <v>283</v>
      </c>
      <c r="C143" s="191">
        <v>400</v>
      </c>
      <c r="D143" s="191">
        <v>418</v>
      </c>
      <c r="E143" s="191">
        <v>404</v>
      </c>
      <c r="F143" s="191">
        <v>412</v>
      </c>
      <c r="G143" s="191">
        <v>381</v>
      </c>
      <c r="H143" s="191">
        <v>383</v>
      </c>
      <c r="I143" s="191">
        <v>384</v>
      </c>
      <c r="J143" s="191">
        <v>401</v>
      </c>
      <c r="K143" s="191">
        <v>402</v>
      </c>
      <c r="L143" s="191">
        <v>402</v>
      </c>
      <c r="M143" s="191">
        <v>380</v>
      </c>
    </row>
    <row r="144" spans="1:13" s="192" customFormat="1" ht="13.5" thickBot="1" x14ac:dyDescent="0.25">
      <c r="A144" s="189">
        <v>12003</v>
      </c>
      <c r="B144" s="190" t="s">
        <v>284</v>
      </c>
      <c r="C144" s="191">
        <v>214</v>
      </c>
      <c r="D144" s="191">
        <v>222</v>
      </c>
      <c r="E144" s="191">
        <v>237</v>
      </c>
      <c r="F144" s="191">
        <v>249</v>
      </c>
      <c r="G144" s="191">
        <v>269</v>
      </c>
      <c r="H144" s="191">
        <v>279</v>
      </c>
      <c r="I144" s="191">
        <v>282</v>
      </c>
      <c r="J144" s="191">
        <v>302</v>
      </c>
      <c r="K144" s="191">
        <v>317</v>
      </c>
      <c r="L144" s="191">
        <v>329</v>
      </c>
      <c r="M144" s="191">
        <v>340</v>
      </c>
    </row>
    <row r="145" spans="1:13" s="192" customFormat="1" ht="13.5" thickBot="1" x14ac:dyDescent="0.25">
      <c r="A145" s="189">
        <v>54007</v>
      </c>
      <c r="B145" s="190" t="s">
        <v>285</v>
      </c>
      <c r="C145" s="191">
        <v>197</v>
      </c>
      <c r="D145" s="191">
        <v>200</v>
      </c>
      <c r="E145" s="191">
        <v>222</v>
      </c>
      <c r="F145" s="191">
        <v>223</v>
      </c>
      <c r="G145" s="191">
        <v>227</v>
      </c>
      <c r="H145" s="191">
        <v>218</v>
      </c>
      <c r="I145" s="191">
        <v>214</v>
      </c>
      <c r="J145" s="191">
        <v>208</v>
      </c>
      <c r="K145" s="191">
        <v>217</v>
      </c>
      <c r="L145" s="191">
        <v>221.43</v>
      </c>
      <c r="M145" s="191">
        <v>219.78</v>
      </c>
    </row>
    <row r="146" spans="1:13" s="192" customFormat="1" ht="13.5" thickBot="1" x14ac:dyDescent="0.25">
      <c r="A146" s="189">
        <v>59002</v>
      </c>
      <c r="B146" s="190" t="s">
        <v>286</v>
      </c>
      <c r="C146" s="191">
        <v>721</v>
      </c>
      <c r="D146" s="191">
        <v>708</v>
      </c>
      <c r="E146" s="191">
        <v>723</v>
      </c>
      <c r="F146" s="191">
        <v>710</v>
      </c>
      <c r="G146" s="191">
        <v>704</v>
      </c>
      <c r="H146" s="191">
        <v>711</v>
      </c>
      <c r="I146" s="191">
        <v>715</v>
      </c>
      <c r="J146" s="191">
        <v>763</v>
      </c>
      <c r="K146" s="191">
        <v>782</v>
      </c>
      <c r="L146" s="191">
        <v>784</v>
      </c>
      <c r="M146" s="191">
        <v>760</v>
      </c>
    </row>
    <row r="147" spans="1:13" s="192" customFormat="1" ht="13.5" thickBot="1" x14ac:dyDescent="0.25">
      <c r="A147" s="189">
        <v>2006</v>
      </c>
      <c r="B147" s="190" t="s">
        <v>287</v>
      </c>
      <c r="C147" s="191">
        <v>349</v>
      </c>
      <c r="D147" s="191">
        <v>357</v>
      </c>
      <c r="E147" s="191">
        <v>362</v>
      </c>
      <c r="F147" s="191">
        <v>346</v>
      </c>
      <c r="G147" s="191">
        <v>358</v>
      </c>
      <c r="H147" s="191">
        <v>353</v>
      </c>
      <c r="I147" s="191">
        <v>340</v>
      </c>
      <c r="J147" s="191">
        <v>339</v>
      </c>
      <c r="K147" s="191">
        <v>303</v>
      </c>
      <c r="L147" s="191">
        <v>301</v>
      </c>
      <c r="M147" s="191">
        <v>289</v>
      </c>
    </row>
    <row r="148" spans="1:13" s="192" customFormat="1" ht="13.5" thickBot="1" x14ac:dyDescent="0.25">
      <c r="A148" s="189">
        <v>55004</v>
      </c>
      <c r="B148" s="190" t="s">
        <v>288</v>
      </c>
      <c r="C148" s="191">
        <v>204</v>
      </c>
      <c r="D148" s="191">
        <v>218</v>
      </c>
      <c r="E148" s="191">
        <v>233</v>
      </c>
      <c r="F148" s="191">
        <v>245</v>
      </c>
      <c r="G148" s="191">
        <v>243</v>
      </c>
      <c r="H148" s="191">
        <v>251</v>
      </c>
      <c r="I148" s="191">
        <v>258</v>
      </c>
      <c r="J148" s="191">
        <v>256</v>
      </c>
      <c r="K148" s="191">
        <v>249.25</v>
      </c>
      <c r="L148" s="191">
        <v>252</v>
      </c>
      <c r="M148" s="191">
        <v>231.3</v>
      </c>
    </row>
    <row r="149" spans="1:13" s="192" customFormat="1" ht="13.5" thickBot="1" x14ac:dyDescent="0.25">
      <c r="A149" s="189">
        <v>63003</v>
      </c>
      <c r="B149" s="190" t="s">
        <v>289</v>
      </c>
      <c r="C149" s="191">
        <v>2709.67</v>
      </c>
      <c r="D149" s="191">
        <v>2717.19</v>
      </c>
      <c r="E149" s="191">
        <v>2723.12</v>
      </c>
      <c r="F149" s="191">
        <v>2775.69</v>
      </c>
      <c r="G149" s="191">
        <v>2769.5</v>
      </c>
      <c r="H149" s="191">
        <v>2808.99</v>
      </c>
      <c r="I149" s="191">
        <v>2821.06</v>
      </c>
      <c r="J149" s="191">
        <v>2862.43</v>
      </c>
      <c r="K149" s="191">
        <v>2908.87</v>
      </c>
      <c r="L149" s="191">
        <v>2841.58</v>
      </c>
      <c r="M149" s="191">
        <v>2783.05</v>
      </c>
    </row>
    <row r="150" spans="1:13" s="192" customFormat="1" ht="13.5" thickBot="1" x14ac:dyDescent="0.25">
      <c r="A150" s="193"/>
      <c r="B150" s="194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</row>
    <row r="151" spans="1:13" s="192" customFormat="1" ht="13.5" hidden="1" thickBot="1" x14ac:dyDescent="0.25">
      <c r="A151" s="189">
        <v>25001</v>
      </c>
      <c r="B151" s="190" t="s">
        <v>152</v>
      </c>
      <c r="C151" s="191">
        <v>91</v>
      </c>
      <c r="D151" s="191">
        <v>96</v>
      </c>
      <c r="E151" s="191">
        <v>90</v>
      </c>
      <c r="F151" s="191">
        <v>91</v>
      </c>
      <c r="G151" s="191">
        <v>89</v>
      </c>
      <c r="H151" s="191">
        <v>70</v>
      </c>
      <c r="I151" s="191">
        <v>86</v>
      </c>
      <c r="J151" s="191">
        <v>74</v>
      </c>
      <c r="K151" s="191">
        <v>77</v>
      </c>
      <c r="L151" s="191">
        <v>72</v>
      </c>
      <c r="M151" s="191"/>
    </row>
    <row r="152" spans="1:13" s="192" customFormat="1" ht="13.5" hidden="1" thickBot="1" x14ac:dyDescent="0.25">
      <c r="A152" s="196">
        <v>25003</v>
      </c>
      <c r="B152" s="197" t="s">
        <v>290</v>
      </c>
      <c r="C152" s="191">
        <v>69</v>
      </c>
      <c r="D152" s="191">
        <v>61</v>
      </c>
      <c r="E152" s="191"/>
      <c r="F152" s="191"/>
      <c r="G152" s="191"/>
      <c r="H152" s="191"/>
      <c r="I152" s="191"/>
      <c r="J152" s="191"/>
      <c r="K152" s="191"/>
      <c r="L152" s="191"/>
      <c r="M152" s="191"/>
    </row>
    <row r="153" spans="1:13" s="192" customFormat="1" ht="13.5" hidden="1" thickBot="1" x14ac:dyDescent="0.25">
      <c r="A153" s="201">
        <v>39005</v>
      </c>
      <c r="B153" s="202" t="s">
        <v>245</v>
      </c>
      <c r="C153" s="203">
        <v>153</v>
      </c>
      <c r="D153" s="203">
        <v>158</v>
      </c>
      <c r="E153" s="203">
        <v>153</v>
      </c>
      <c r="F153" s="203">
        <v>170</v>
      </c>
      <c r="G153" s="203">
        <v>164</v>
      </c>
      <c r="H153" s="203">
        <v>154</v>
      </c>
      <c r="I153" s="203">
        <v>145</v>
      </c>
      <c r="J153" s="203">
        <v>146</v>
      </c>
      <c r="K153" s="191"/>
      <c r="L153" s="191"/>
      <c r="M153" s="191"/>
    </row>
    <row r="154" spans="1:13" s="192" customFormat="1" ht="13.5" hidden="1" thickBot="1" x14ac:dyDescent="0.25">
      <c r="A154" s="201">
        <v>39004</v>
      </c>
      <c r="B154" s="202" t="s">
        <v>254</v>
      </c>
      <c r="C154" s="203">
        <v>157</v>
      </c>
      <c r="D154" s="203">
        <v>163</v>
      </c>
      <c r="E154" s="203">
        <v>176</v>
      </c>
      <c r="F154" s="203">
        <v>187</v>
      </c>
      <c r="G154" s="203">
        <v>175</v>
      </c>
      <c r="H154" s="203">
        <v>176</v>
      </c>
      <c r="I154" s="203">
        <v>189</v>
      </c>
      <c r="J154" s="203">
        <v>183</v>
      </c>
      <c r="K154" s="191"/>
      <c r="L154" s="191"/>
      <c r="M154" s="191"/>
    </row>
    <row r="155" spans="1:13" s="192" customFormat="1" ht="12.75" x14ac:dyDescent="0.2">
      <c r="A155" s="198"/>
      <c r="B155" s="204" t="s">
        <v>300</v>
      </c>
      <c r="C155" s="205">
        <f t="shared" ref="C155:M155" si="0">SUM(C3:C154)</f>
        <v>131221.81</v>
      </c>
      <c r="D155" s="205">
        <f t="shared" si="0"/>
        <v>132876.04</v>
      </c>
      <c r="E155" s="205">
        <f t="shared" si="0"/>
        <v>134186.34</v>
      </c>
      <c r="F155" s="205">
        <f t="shared" si="0"/>
        <v>135316.77999999997</v>
      </c>
      <c r="G155" s="205">
        <f t="shared" si="0"/>
        <v>136519.16999999998</v>
      </c>
      <c r="H155" s="205">
        <f t="shared" si="0"/>
        <v>136280.89999999997</v>
      </c>
      <c r="I155" s="205">
        <f t="shared" si="0"/>
        <v>137692.39999999994</v>
      </c>
      <c r="J155" s="205">
        <f t="shared" si="0"/>
        <v>138448.65000000002</v>
      </c>
      <c r="K155" s="205">
        <f t="shared" si="0"/>
        <v>138280.86000000004</v>
      </c>
      <c r="L155" s="205">
        <f t="shared" si="0"/>
        <v>137793.49</v>
      </c>
      <c r="M155" s="205">
        <f t="shared" si="0"/>
        <v>136093.03</v>
      </c>
    </row>
    <row r="156" spans="1:13" s="192" customFormat="1" ht="12.75" x14ac:dyDescent="0.2">
      <c r="C156" s="199"/>
      <c r="D156" s="199"/>
      <c r="E156" s="199"/>
      <c r="F156" s="199"/>
      <c r="G156" s="199"/>
    </row>
    <row r="157" spans="1:13" s="192" customFormat="1" ht="12.75" x14ac:dyDescent="0.2">
      <c r="C157" s="199"/>
      <c r="D157" s="199"/>
      <c r="E157" s="199"/>
      <c r="F157" s="200"/>
      <c r="G157" s="200"/>
    </row>
    <row r="158" spans="1:13" s="192" customFormat="1" ht="12.75" x14ac:dyDescent="0.2">
      <c r="C158" s="199"/>
      <c r="D158" s="199"/>
      <c r="E158" s="199"/>
      <c r="F158" s="199"/>
      <c r="G158" s="199"/>
      <c r="H158" s="199"/>
      <c r="I158" s="199"/>
    </row>
    <row r="159" spans="1:13" s="192" customFormat="1" ht="12.75" x14ac:dyDescent="0.2">
      <c r="C159" s="199"/>
      <c r="D159" s="199"/>
      <c r="E159" s="199"/>
      <c r="F159" s="199"/>
      <c r="G159" s="199"/>
      <c r="H159" s="199"/>
      <c r="I159" s="199"/>
      <c r="J159" s="199"/>
      <c r="K159" s="199"/>
    </row>
  </sheetData>
  <sheetProtection algorithmName="SHA-512" hashValue="Af2fTroFUrifMEjg5Z6V64oyA54+AbkHwW4KwcvmuR7oqj66edKhr1raKarDkcXKwYZMkGXK/Pl4kIHtsqgyIA==" saltValue="LdJU64YO5z2UellKZK2vnA==" spinCount="100000" sheet="1" objects="1" scenarios="1"/>
  <phoneticPr fontId="8" type="noConversion"/>
  <pageMargins left="0.22" right="0.5" top="0.5" bottom="0.55000000000000004" header="0.26" footer="0.18"/>
  <pageSetup scale="61" fitToHeight="0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7391-8602-45C5-BCE8-B0C18D344B6C}">
  <sheetPr codeName="Sheet3"/>
  <dimension ref="A1:B148"/>
  <sheetViews>
    <sheetView workbookViewId="0"/>
  </sheetViews>
  <sheetFormatPr defaultRowHeight="15" x14ac:dyDescent="0.25"/>
  <cols>
    <col min="1" max="1" width="6" bestFit="1" customWidth="1"/>
    <col min="2" max="2" width="28.140625" bestFit="1" customWidth="1"/>
  </cols>
  <sheetData>
    <row r="1" spans="1:2" x14ac:dyDescent="0.25">
      <c r="A1" s="1" t="s">
        <v>139</v>
      </c>
      <c r="B1" s="1" t="s">
        <v>140</v>
      </c>
    </row>
    <row r="2" spans="1:2" x14ac:dyDescent="0.25">
      <c r="A2" s="2">
        <v>6001</v>
      </c>
      <c r="B2" s="3" t="s">
        <v>141</v>
      </c>
    </row>
    <row r="3" spans="1:2" x14ac:dyDescent="0.25">
      <c r="A3" s="2">
        <v>58003</v>
      </c>
      <c r="B3" s="3" t="s">
        <v>142</v>
      </c>
    </row>
    <row r="4" spans="1:2" x14ac:dyDescent="0.25">
      <c r="A4" s="2">
        <v>61001</v>
      </c>
      <c r="B4" s="3" t="s">
        <v>143</v>
      </c>
    </row>
    <row r="5" spans="1:2" x14ac:dyDescent="0.25">
      <c r="A5" s="2">
        <v>11001</v>
      </c>
      <c r="B5" s="3" t="s">
        <v>144</v>
      </c>
    </row>
    <row r="6" spans="1:2" x14ac:dyDescent="0.25">
      <c r="A6" s="2">
        <v>38001</v>
      </c>
      <c r="B6" s="3" t="s">
        <v>145</v>
      </c>
    </row>
    <row r="7" spans="1:2" x14ac:dyDescent="0.25">
      <c r="A7" s="2">
        <v>21001</v>
      </c>
      <c r="B7" s="3" t="s">
        <v>146</v>
      </c>
    </row>
    <row r="8" spans="1:2" x14ac:dyDescent="0.25">
      <c r="A8" s="2">
        <v>4001</v>
      </c>
      <c r="B8" s="3" t="s">
        <v>147</v>
      </c>
    </row>
    <row r="9" spans="1:2" x14ac:dyDescent="0.25">
      <c r="A9" s="2">
        <v>49001</v>
      </c>
      <c r="B9" s="3" t="s">
        <v>148</v>
      </c>
    </row>
    <row r="10" spans="1:2" x14ac:dyDescent="0.25">
      <c r="A10" s="2">
        <v>9001</v>
      </c>
      <c r="B10" s="3" t="s">
        <v>149</v>
      </c>
    </row>
    <row r="11" spans="1:2" x14ac:dyDescent="0.25">
      <c r="A11" s="2">
        <v>3001</v>
      </c>
      <c r="B11" s="3" t="s">
        <v>150</v>
      </c>
    </row>
    <row r="12" spans="1:2" x14ac:dyDescent="0.25">
      <c r="A12" s="2">
        <v>61002</v>
      </c>
      <c r="B12" s="3" t="s">
        <v>151</v>
      </c>
    </row>
    <row r="13" spans="1:2" x14ac:dyDescent="0.25">
      <c r="A13" s="2">
        <v>52001</v>
      </c>
      <c r="B13" s="3" t="s">
        <v>153</v>
      </c>
    </row>
    <row r="14" spans="1:2" x14ac:dyDescent="0.25">
      <c r="A14" s="2">
        <v>4002</v>
      </c>
      <c r="B14" s="3" t="s">
        <v>154</v>
      </c>
    </row>
    <row r="15" spans="1:2" x14ac:dyDescent="0.25">
      <c r="A15" s="2">
        <v>22001</v>
      </c>
      <c r="B15" s="3" t="s">
        <v>155</v>
      </c>
    </row>
    <row r="16" spans="1:2" x14ac:dyDescent="0.25">
      <c r="A16" s="2">
        <v>49002</v>
      </c>
      <c r="B16" s="3" t="s">
        <v>156</v>
      </c>
    </row>
    <row r="17" spans="1:2" x14ac:dyDescent="0.25">
      <c r="A17" s="2">
        <v>30003</v>
      </c>
      <c r="B17" s="3" t="s">
        <v>157</v>
      </c>
    </row>
    <row r="18" spans="1:2" x14ac:dyDescent="0.25">
      <c r="A18" s="2">
        <v>45004</v>
      </c>
      <c r="B18" s="3" t="s">
        <v>158</v>
      </c>
    </row>
    <row r="19" spans="1:2" x14ac:dyDescent="0.25">
      <c r="A19" s="2">
        <v>5001</v>
      </c>
      <c r="B19" s="3" t="s">
        <v>159</v>
      </c>
    </row>
    <row r="20" spans="1:2" x14ac:dyDescent="0.25">
      <c r="A20" s="2">
        <v>26002</v>
      </c>
      <c r="B20" s="3" t="s">
        <v>160</v>
      </c>
    </row>
    <row r="21" spans="1:2" x14ac:dyDescent="0.25">
      <c r="A21" s="2">
        <v>43001</v>
      </c>
      <c r="B21" s="3" t="s">
        <v>161</v>
      </c>
    </row>
    <row r="22" spans="1:2" x14ac:dyDescent="0.25">
      <c r="A22" s="2">
        <v>41001</v>
      </c>
      <c r="B22" s="3" t="s">
        <v>162</v>
      </c>
    </row>
    <row r="23" spans="1:2" x14ac:dyDescent="0.25">
      <c r="A23" s="2">
        <v>28001</v>
      </c>
      <c r="B23" s="3" t="s">
        <v>163</v>
      </c>
    </row>
    <row r="24" spans="1:2" x14ac:dyDescent="0.25">
      <c r="A24" s="2">
        <v>60001</v>
      </c>
      <c r="B24" s="3" t="s">
        <v>164</v>
      </c>
    </row>
    <row r="25" spans="1:2" x14ac:dyDescent="0.25">
      <c r="A25" s="2">
        <v>7001</v>
      </c>
      <c r="B25" s="3" t="s">
        <v>165</v>
      </c>
    </row>
    <row r="26" spans="1:2" x14ac:dyDescent="0.25">
      <c r="A26" s="2">
        <v>39001</v>
      </c>
      <c r="B26" s="3" t="s">
        <v>166</v>
      </c>
    </row>
    <row r="27" spans="1:2" x14ac:dyDescent="0.25">
      <c r="A27" s="2">
        <v>12002</v>
      </c>
      <c r="B27" s="3" t="s">
        <v>167</v>
      </c>
    </row>
    <row r="28" spans="1:2" x14ac:dyDescent="0.25">
      <c r="A28" s="2">
        <v>50005</v>
      </c>
      <c r="B28" s="3" t="s">
        <v>168</v>
      </c>
    </row>
    <row r="29" spans="1:2" x14ac:dyDescent="0.25">
      <c r="A29" s="2">
        <v>59003</v>
      </c>
      <c r="B29" s="3" t="s">
        <v>416</v>
      </c>
    </row>
    <row r="30" spans="1:2" x14ac:dyDescent="0.25">
      <c r="A30" s="2">
        <v>21003</v>
      </c>
      <c r="B30" s="3" t="s">
        <v>170</v>
      </c>
    </row>
    <row r="31" spans="1:2" x14ac:dyDescent="0.25">
      <c r="A31" s="2">
        <v>16001</v>
      </c>
      <c r="B31" s="3" t="s">
        <v>171</v>
      </c>
    </row>
    <row r="32" spans="1:2" x14ac:dyDescent="0.25">
      <c r="A32" s="2">
        <v>61008</v>
      </c>
      <c r="B32" s="3" t="s">
        <v>172</v>
      </c>
    </row>
    <row r="33" spans="1:2" x14ac:dyDescent="0.25">
      <c r="A33" s="2">
        <v>38002</v>
      </c>
      <c r="B33" s="3" t="s">
        <v>173</v>
      </c>
    </row>
    <row r="34" spans="1:2" x14ac:dyDescent="0.25">
      <c r="A34" s="2">
        <v>49003</v>
      </c>
      <c r="B34" s="3" t="s">
        <v>174</v>
      </c>
    </row>
    <row r="35" spans="1:2" x14ac:dyDescent="0.25">
      <c r="A35" s="2">
        <v>5006</v>
      </c>
      <c r="B35" s="3" t="s">
        <v>175</v>
      </c>
    </row>
    <row r="36" spans="1:2" x14ac:dyDescent="0.25">
      <c r="A36" s="2">
        <v>19004</v>
      </c>
      <c r="B36" s="3" t="s">
        <v>176</v>
      </c>
    </row>
    <row r="37" spans="1:2" x14ac:dyDescent="0.25">
      <c r="A37" s="2">
        <v>56002</v>
      </c>
      <c r="B37" s="3" t="s">
        <v>177</v>
      </c>
    </row>
    <row r="38" spans="1:2" x14ac:dyDescent="0.25">
      <c r="A38" s="2">
        <v>51001</v>
      </c>
      <c r="B38" s="3" t="s">
        <v>178</v>
      </c>
    </row>
    <row r="39" spans="1:2" x14ac:dyDescent="0.25">
      <c r="A39" s="2">
        <v>64002</v>
      </c>
      <c r="B39" s="3" t="s">
        <v>179</v>
      </c>
    </row>
    <row r="40" spans="1:2" x14ac:dyDescent="0.25">
      <c r="A40" s="2">
        <v>20001</v>
      </c>
      <c r="B40" s="3" t="s">
        <v>180</v>
      </c>
    </row>
    <row r="41" spans="1:2" x14ac:dyDescent="0.25">
      <c r="A41" s="2">
        <v>23001</v>
      </c>
      <c r="B41" s="3" t="s">
        <v>181</v>
      </c>
    </row>
    <row r="42" spans="1:2" x14ac:dyDescent="0.25">
      <c r="A42" s="2">
        <v>22005</v>
      </c>
      <c r="B42" s="3" t="s">
        <v>182</v>
      </c>
    </row>
    <row r="43" spans="1:2" x14ac:dyDescent="0.25">
      <c r="A43" s="2">
        <v>16002</v>
      </c>
      <c r="B43" s="3" t="s">
        <v>183</v>
      </c>
    </row>
    <row r="44" spans="1:2" x14ac:dyDescent="0.25">
      <c r="A44" s="2">
        <v>61007</v>
      </c>
      <c r="B44" s="3" t="s">
        <v>184</v>
      </c>
    </row>
    <row r="45" spans="1:2" x14ac:dyDescent="0.25">
      <c r="A45" s="2">
        <v>5003</v>
      </c>
      <c r="B45" s="3" t="s">
        <v>185</v>
      </c>
    </row>
    <row r="46" spans="1:2" x14ac:dyDescent="0.25">
      <c r="A46" s="2">
        <v>28002</v>
      </c>
      <c r="B46" s="3" t="s">
        <v>186</v>
      </c>
    </row>
    <row r="47" spans="1:2" x14ac:dyDescent="0.25">
      <c r="A47" s="2">
        <v>17001</v>
      </c>
      <c r="B47" s="3" t="s">
        <v>187</v>
      </c>
    </row>
    <row r="48" spans="1:2" x14ac:dyDescent="0.25">
      <c r="A48" s="2">
        <v>44001</v>
      </c>
      <c r="B48" s="3" t="s">
        <v>188</v>
      </c>
    </row>
    <row r="49" spans="1:2" x14ac:dyDescent="0.25">
      <c r="A49" s="2">
        <v>46002</v>
      </c>
      <c r="B49" s="3" t="s">
        <v>189</v>
      </c>
    </row>
    <row r="50" spans="1:2" x14ac:dyDescent="0.25">
      <c r="A50" s="2">
        <v>24004</v>
      </c>
      <c r="B50" s="3" t="s">
        <v>294</v>
      </c>
    </row>
    <row r="51" spans="1:2" x14ac:dyDescent="0.25">
      <c r="A51" s="2">
        <v>50003</v>
      </c>
      <c r="B51" s="3" t="s">
        <v>191</v>
      </c>
    </row>
    <row r="52" spans="1:2" x14ac:dyDescent="0.25">
      <c r="A52" s="2">
        <v>14001</v>
      </c>
      <c r="B52" s="3" t="s">
        <v>192</v>
      </c>
    </row>
    <row r="53" spans="1:2" x14ac:dyDescent="0.25">
      <c r="A53" s="2">
        <v>6002</v>
      </c>
      <c r="B53" s="3" t="s">
        <v>193</v>
      </c>
    </row>
    <row r="54" spans="1:2" x14ac:dyDescent="0.25">
      <c r="A54" s="2">
        <v>33001</v>
      </c>
      <c r="B54" s="3" t="s">
        <v>194</v>
      </c>
    </row>
    <row r="55" spans="1:2" x14ac:dyDescent="0.25">
      <c r="A55" s="2">
        <v>49004</v>
      </c>
      <c r="B55" s="3" t="s">
        <v>195</v>
      </c>
    </row>
    <row r="56" spans="1:2" x14ac:dyDescent="0.25">
      <c r="A56" s="2">
        <v>63001</v>
      </c>
      <c r="B56" s="3" t="s">
        <v>196</v>
      </c>
    </row>
    <row r="57" spans="1:2" x14ac:dyDescent="0.25">
      <c r="A57" s="2">
        <v>53001</v>
      </c>
      <c r="B57" s="3" t="s">
        <v>197</v>
      </c>
    </row>
    <row r="58" spans="1:2" x14ac:dyDescent="0.25">
      <c r="A58" s="2">
        <v>26004</v>
      </c>
      <c r="B58" s="3" t="s">
        <v>198</v>
      </c>
    </row>
    <row r="59" spans="1:2" x14ac:dyDescent="0.25">
      <c r="A59" s="2">
        <v>6006</v>
      </c>
      <c r="B59" s="3" t="s">
        <v>199</v>
      </c>
    </row>
    <row r="60" spans="1:2" x14ac:dyDescent="0.25">
      <c r="A60" s="2">
        <v>27001</v>
      </c>
      <c r="B60" s="3" t="s">
        <v>200</v>
      </c>
    </row>
    <row r="61" spans="1:2" x14ac:dyDescent="0.25">
      <c r="A61" s="2">
        <v>28003</v>
      </c>
      <c r="B61" s="3" t="s">
        <v>201</v>
      </c>
    </row>
    <row r="62" spans="1:2" x14ac:dyDescent="0.25">
      <c r="A62" s="2">
        <v>30001</v>
      </c>
      <c r="B62" s="3" t="s">
        <v>202</v>
      </c>
    </row>
    <row r="63" spans="1:2" x14ac:dyDescent="0.25">
      <c r="A63" s="2">
        <v>31001</v>
      </c>
      <c r="B63" s="3" t="s">
        <v>203</v>
      </c>
    </row>
    <row r="64" spans="1:2" x14ac:dyDescent="0.25">
      <c r="A64" s="2">
        <v>41002</v>
      </c>
      <c r="B64" s="3" t="s">
        <v>204</v>
      </c>
    </row>
    <row r="65" spans="1:2" x14ac:dyDescent="0.25">
      <c r="A65" s="2">
        <v>14002</v>
      </c>
      <c r="B65" s="3" t="s">
        <v>205</v>
      </c>
    </row>
    <row r="66" spans="1:2" x14ac:dyDescent="0.25">
      <c r="A66" s="2">
        <v>10001</v>
      </c>
      <c r="B66" s="3" t="s">
        <v>206</v>
      </c>
    </row>
    <row r="67" spans="1:2" x14ac:dyDescent="0.25">
      <c r="A67" s="2">
        <v>34002</v>
      </c>
      <c r="B67" s="3" t="s">
        <v>207</v>
      </c>
    </row>
    <row r="68" spans="1:2" x14ac:dyDescent="0.25">
      <c r="A68" s="2">
        <v>51002</v>
      </c>
      <c r="B68" s="3" t="s">
        <v>208</v>
      </c>
    </row>
    <row r="69" spans="1:2" x14ac:dyDescent="0.25">
      <c r="A69" s="2">
        <v>56006</v>
      </c>
      <c r="B69" s="3" t="s">
        <v>209</v>
      </c>
    </row>
    <row r="70" spans="1:2" x14ac:dyDescent="0.25">
      <c r="A70" s="2">
        <v>23002</v>
      </c>
      <c r="B70" s="3" t="s">
        <v>210</v>
      </c>
    </row>
    <row r="71" spans="1:2" x14ac:dyDescent="0.25">
      <c r="A71" s="2">
        <v>53002</v>
      </c>
      <c r="B71" s="3" t="s">
        <v>211</v>
      </c>
    </row>
    <row r="72" spans="1:2" x14ac:dyDescent="0.25">
      <c r="A72" s="2">
        <v>48003</v>
      </c>
      <c r="B72" s="3" t="s">
        <v>212</v>
      </c>
    </row>
    <row r="73" spans="1:2" x14ac:dyDescent="0.25">
      <c r="A73" s="2">
        <v>2002</v>
      </c>
      <c r="B73" s="3" t="s">
        <v>213</v>
      </c>
    </row>
    <row r="74" spans="1:2" x14ac:dyDescent="0.25">
      <c r="A74" s="2">
        <v>22006</v>
      </c>
      <c r="B74" s="3" t="s">
        <v>214</v>
      </c>
    </row>
    <row r="75" spans="1:2" x14ac:dyDescent="0.25">
      <c r="A75" s="2">
        <v>13003</v>
      </c>
      <c r="B75" s="3" t="s">
        <v>215</v>
      </c>
    </row>
    <row r="76" spans="1:2" x14ac:dyDescent="0.25">
      <c r="A76" s="2">
        <v>2003</v>
      </c>
      <c r="B76" s="3" t="s">
        <v>216</v>
      </c>
    </row>
    <row r="77" spans="1:2" x14ac:dyDescent="0.25">
      <c r="A77" s="2">
        <v>37003</v>
      </c>
      <c r="B77" s="3" t="s">
        <v>217</v>
      </c>
    </row>
    <row r="78" spans="1:2" x14ac:dyDescent="0.25">
      <c r="A78" s="2">
        <v>35002</v>
      </c>
      <c r="B78" s="3" t="s">
        <v>218</v>
      </c>
    </row>
    <row r="79" spans="1:2" x14ac:dyDescent="0.25">
      <c r="A79" s="2">
        <v>7002</v>
      </c>
      <c r="B79" s="3" t="s">
        <v>219</v>
      </c>
    </row>
    <row r="80" spans="1:2" x14ac:dyDescent="0.25">
      <c r="A80" s="2">
        <v>38003</v>
      </c>
      <c r="B80" s="3" t="s">
        <v>220</v>
      </c>
    </row>
    <row r="81" spans="1:2" x14ac:dyDescent="0.25">
      <c r="A81" s="2">
        <v>45005</v>
      </c>
      <c r="B81" s="3" t="s">
        <v>221</v>
      </c>
    </row>
    <row r="82" spans="1:2" x14ac:dyDescent="0.25">
      <c r="A82" s="2">
        <v>40001</v>
      </c>
      <c r="B82" s="3" t="s">
        <v>222</v>
      </c>
    </row>
    <row r="83" spans="1:2" x14ac:dyDescent="0.25">
      <c r="A83" s="2">
        <v>52004</v>
      </c>
      <c r="B83" s="3" t="s">
        <v>223</v>
      </c>
    </row>
    <row r="84" spans="1:2" x14ac:dyDescent="0.25">
      <c r="A84" s="2">
        <v>41004</v>
      </c>
      <c r="B84" s="3" t="s">
        <v>224</v>
      </c>
    </row>
    <row r="85" spans="1:2" x14ac:dyDescent="0.25">
      <c r="A85" s="2">
        <v>44002</v>
      </c>
      <c r="B85" s="3" t="s">
        <v>225</v>
      </c>
    </row>
    <row r="86" spans="1:2" x14ac:dyDescent="0.25">
      <c r="A86" s="2">
        <v>42001</v>
      </c>
      <c r="B86" s="3" t="s">
        <v>226</v>
      </c>
    </row>
    <row r="87" spans="1:2" x14ac:dyDescent="0.25">
      <c r="A87" s="2">
        <v>39002</v>
      </c>
      <c r="B87" s="3" t="s">
        <v>227</v>
      </c>
    </row>
    <row r="88" spans="1:2" x14ac:dyDescent="0.25">
      <c r="A88" s="2">
        <v>60003</v>
      </c>
      <c r="B88" s="3" t="s">
        <v>228</v>
      </c>
    </row>
    <row r="89" spans="1:2" x14ac:dyDescent="0.25">
      <c r="A89" s="2">
        <v>43007</v>
      </c>
      <c r="B89" s="3" t="s">
        <v>229</v>
      </c>
    </row>
    <row r="90" spans="1:2" x14ac:dyDescent="0.25">
      <c r="A90" s="2">
        <v>15001</v>
      </c>
      <c r="B90" s="3" t="s">
        <v>230</v>
      </c>
    </row>
    <row r="91" spans="1:2" x14ac:dyDescent="0.25">
      <c r="A91" s="2">
        <v>15002</v>
      </c>
      <c r="B91" s="3" t="s">
        <v>231</v>
      </c>
    </row>
    <row r="92" spans="1:2" x14ac:dyDescent="0.25">
      <c r="A92" s="2">
        <v>46001</v>
      </c>
      <c r="B92" s="3" t="s">
        <v>232</v>
      </c>
    </row>
    <row r="93" spans="1:2" x14ac:dyDescent="0.25">
      <c r="A93" s="2">
        <v>33002</v>
      </c>
      <c r="B93" s="3" t="s">
        <v>233</v>
      </c>
    </row>
    <row r="94" spans="1:2" x14ac:dyDescent="0.25">
      <c r="A94" s="2">
        <v>25004</v>
      </c>
      <c r="B94" s="3" t="s">
        <v>234</v>
      </c>
    </row>
    <row r="95" spans="1:2" x14ac:dyDescent="0.25">
      <c r="A95" s="2">
        <v>29004</v>
      </c>
      <c r="B95" s="3" t="s">
        <v>235</v>
      </c>
    </row>
    <row r="96" spans="1:2" x14ac:dyDescent="0.25">
      <c r="A96" s="2">
        <v>17002</v>
      </c>
      <c r="B96" s="3" t="s">
        <v>236</v>
      </c>
    </row>
    <row r="97" spans="1:2" x14ac:dyDescent="0.25">
      <c r="A97" s="2">
        <v>62006</v>
      </c>
      <c r="B97" s="3" t="s">
        <v>237</v>
      </c>
    </row>
    <row r="98" spans="1:2" x14ac:dyDescent="0.25">
      <c r="A98" s="2">
        <v>43002</v>
      </c>
      <c r="B98" s="3" t="s">
        <v>238</v>
      </c>
    </row>
    <row r="99" spans="1:2" x14ac:dyDescent="0.25">
      <c r="A99" s="2">
        <v>17003</v>
      </c>
      <c r="B99" s="3" t="s">
        <v>239</v>
      </c>
    </row>
    <row r="100" spans="1:2" x14ac:dyDescent="0.25">
      <c r="A100" s="2">
        <v>51003</v>
      </c>
      <c r="B100" s="3" t="s">
        <v>240</v>
      </c>
    </row>
    <row r="101" spans="1:2" x14ac:dyDescent="0.25">
      <c r="A101" s="2">
        <v>9002</v>
      </c>
      <c r="B101" s="3" t="s">
        <v>241</v>
      </c>
    </row>
    <row r="102" spans="1:2" x14ac:dyDescent="0.25">
      <c r="A102" s="2">
        <v>56007</v>
      </c>
      <c r="B102" s="3" t="s">
        <v>242</v>
      </c>
    </row>
    <row r="103" spans="1:2" x14ac:dyDescent="0.25">
      <c r="A103" s="2">
        <v>23003</v>
      </c>
      <c r="B103" s="3" t="s">
        <v>243</v>
      </c>
    </row>
    <row r="104" spans="1:2" x14ac:dyDescent="0.25">
      <c r="A104" s="2">
        <v>65001</v>
      </c>
      <c r="B104" s="3" t="s">
        <v>244</v>
      </c>
    </row>
    <row r="105" spans="1:2" x14ac:dyDescent="0.25">
      <c r="A105" s="130">
        <v>39006</v>
      </c>
      <c r="B105" s="3" t="s">
        <v>410</v>
      </c>
    </row>
    <row r="106" spans="1:2" x14ac:dyDescent="0.25">
      <c r="A106" s="2">
        <v>60004</v>
      </c>
      <c r="B106" s="3" t="s">
        <v>246</v>
      </c>
    </row>
    <row r="107" spans="1:2" x14ac:dyDescent="0.25">
      <c r="A107" s="2">
        <v>33003</v>
      </c>
      <c r="B107" s="3" t="s">
        <v>247</v>
      </c>
    </row>
    <row r="108" spans="1:2" x14ac:dyDescent="0.25">
      <c r="A108" s="2">
        <v>32002</v>
      </c>
      <c r="B108" s="3" t="s">
        <v>248</v>
      </c>
    </row>
    <row r="109" spans="1:2" x14ac:dyDescent="0.25">
      <c r="A109" s="2">
        <v>1001</v>
      </c>
      <c r="B109" s="3" t="s">
        <v>249</v>
      </c>
    </row>
    <row r="110" spans="1:2" x14ac:dyDescent="0.25">
      <c r="A110" s="2">
        <v>11005</v>
      </c>
      <c r="B110" s="3" t="s">
        <v>250</v>
      </c>
    </row>
    <row r="111" spans="1:2" x14ac:dyDescent="0.25">
      <c r="A111" s="4">
        <v>51004</v>
      </c>
      <c r="B111" s="5" t="s">
        <v>329</v>
      </c>
    </row>
    <row r="112" spans="1:2" x14ac:dyDescent="0.25">
      <c r="A112" s="2">
        <v>56004</v>
      </c>
      <c r="B112" s="3" t="s">
        <v>252</v>
      </c>
    </row>
    <row r="113" spans="1:2" x14ac:dyDescent="0.25">
      <c r="A113" s="2">
        <v>54004</v>
      </c>
      <c r="B113" s="3" t="s">
        <v>253</v>
      </c>
    </row>
    <row r="114" spans="1:2" x14ac:dyDescent="0.25">
      <c r="A114" s="2">
        <v>55005</v>
      </c>
      <c r="B114" s="3" t="s">
        <v>255</v>
      </c>
    </row>
    <row r="115" spans="1:2" x14ac:dyDescent="0.25">
      <c r="A115" s="2">
        <v>4003</v>
      </c>
      <c r="B115" s="3" t="s">
        <v>256</v>
      </c>
    </row>
    <row r="116" spans="1:2" x14ac:dyDescent="0.25">
      <c r="A116" s="2">
        <v>62005</v>
      </c>
      <c r="B116" s="3" t="s">
        <v>257</v>
      </c>
    </row>
    <row r="117" spans="1:2" x14ac:dyDescent="0.25">
      <c r="A117" s="4">
        <v>49005</v>
      </c>
      <c r="B117" s="5" t="s">
        <v>258</v>
      </c>
    </row>
    <row r="118" spans="1:2" x14ac:dyDescent="0.25">
      <c r="A118" s="2">
        <v>5005</v>
      </c>
      <c r="B118" s="3" t="s">
        <v>259</v>
      </c>
    </row>
    <row r="119" spans="1:2" x14ac:dyDescent="0.25">
      <c r="A119" s="2">
        <v>54002</v>
      </c>
      <c r="B119" s="3" t="s">
        <v>260</v>
      </c>
    </row>
    <row r="120" spans="1:2" x14ac:dyDescent="0.25">
      <c r="A120" s="2">
        <v>26005</v>
      </c>
      <c r="B120" s="3" t="s">
        <v>262</v>
      </c>
    </row>
    <row r="121" spans="1:2" x14ac:dyDescent="0.25">
      <c r="A121" s="2">
        <v>40002</v>
      </c>
      <c r="B121" s="3" t="s">
        <v>263</v>
      </c>
    </row>
    <row r="122" spans="1:2" x14ac:dyDescent="0.25">
      <c r="A122" s="2">
        <v>57001</v>
      </c>
      <c r="B122" s="3" t="s">
        <v>264</v>
      </c>
    </row>
    <row r="123" spans="1:2" x14ac:dyDescent="0.25">
      <c r="A123" s="2">
        <v>54006</v>
      </c>
      <c r="B123" s="3" t="s">
        <v>265</v>
      </c>
    </row>
    <row r="124" spans="1:2" x14ac:dyDescent="0.25">
      <c r="A124" s="2">
        <v>41005</v>
      </c>
      <c r="B124" s="3" t="s">
        <v>266</v>
      </c>
    </row>
    <row r="125" spans="1:2" x14ac:dyDescent="0.25">
      <c r="A125" s="2">
        <v>20003</v>
      </c>
      <c r="B125" s="3" t="s">
        <v>267</v>
      </c>
    </row>
    <row r="126" spans="1:2" x14ac:dyDescent="0.25">
      <c r="A126" s="2">
        <v>66001</v>
      </c>
      <c r="B126" s="3" t="s">
        <v>268</v>
      </c>
    </row>
    <row r="127" spans="1:2" x14ac:dyDescent="0.25">
      <c r="A127" s="2">
        <v>33005</v>
      </c>
      <c r="B127" s="3" t="s">
        <v>269</v>
      </c>
    </row>
    <row r="128" spans="1:2" x14ac:dyDescent="0.25">
      <c r="A128" s="2">
        <v>49006</v>
      </c>
      <c r="B128" s="3" t="s">
        <v>270</v>
      </c>
    </row>
    <row r="129" spans="1:2" x14ac:dyDescent="0.25">
      <c r="A129" s="2">
        <v>13001</v>
      </c>
      <c r="B129" s="3" t="s">
        <v>271</v>
      </c>
    </row>
    <row r="130" spans="1:2" x14ac:dyDescent="0.25">
      <c r="A130" s="2">
        <v>60006</v>
      </c>
      <c r="B130" s="3" t="s">
        <v>272</v>
      </c>
    </row>
    <row r="131" spans="1:2" x14ac:dyDescent="0.25">
      <c r="A131" s="2">
        <v>11004</v>
      </c>
      <c r="B131" s="3" t="s">
        <v>273</v>
      </c>
    </row>
    <row r="132" spans="1:2" x14ac:dyDescent="0.25">
      <c r="A132" s="2">
        <v>15003</v>
      </c>
      <c r="B132" s="3" t="s">
        <v>445</v>
      </c>
    </row>
    <row r="133" spans="1:2" x14ac:dyDescent="0.25">
      <c r="A133" s="2">
        <v>51005</v>
      </c>
      <c r="B133" s="3" t="s">
        <v>274</v>
      </c>
    </row>
    <row r="134" spans="1:2" x14ac:dyDescent="0.25">
      <c r="A134" s="2">
        <v>6005</v>
      </c>
      <c r="B134" s="3" t="s">
        <v>275</v>
      </c>
    </row>
    <row r="135" spans="1:2" x14ac:dyDescent="0.25">
      <c r="A135" s="2">
        <v>14004</v>
      </c>
      <c r="B135" s="3" t="s">
        <v>276</v>
      </c>
    </row>
    <row r="136" spans="1:2" x14ac:dyDescent="0.25">
      <c r="A136" s="2">
        <v>18003</v>
      </c>
      <c r="B136" s="3" t="s">
        <v>277</v>
      </c>
    </row>
    <row r="137" spans="1:2" x14ac:dyDescent="0.25">
      <c r="A137" s="2">
        <v>14005</v>
      </c>
      <c r="B137" s="3" t="s">
        <v>278</v>
      </c>
    </row>
    <row r="138" spans="1:2" x14ac:dyDescent="0.25">
      <c r="A138" s="2">
        <v>18005</v>
      </c>
      <c r="B138" s="3" t="s">
        <v>279</v>
      </c>
    </row>
    <row r="139" spans="1:2" x14ac:dyDescent="0.25">
      <c r="A139" s="2">
        <v>36002</v>
      </c>
      <c r="B139" s="3" t="s">
        <v>280</v>
      </c>
    </row>
    <row r="140" spans="1:2" x14ac:dyDescent="0.25">
      <c r="A140" s="2">
        <v>49007</v>
      </c>
      <c r="B140" s="3" t="s">
        <v>281</v>
      </c>
    </row>
    <row r="141" spans="1:2" x14ac:dyDescent="0.25">
      <c r="A141" s="2">
        <v>1003</v>
      </c>
      <c r="B141" s="3" t="s">
        <v>282</v>
      </c>
    </row>
    <row r="142" spans="1:2" x14ac:dyDescent="0.25">
      <c r="A142" s="2">
        <v>47001</v>
      </c>
      <c r="B142" s="3" t="s">
        <v>283</v>
      </c>
    </row>
    <row r="143" spans="1:2" x14ac:dyDescent="0.25">
      <c r="A143" s="2">
        <v>12003</v>
      </c>
      <c r="B143" s="3" t="s">
        <v>284</v>
      </c>
    </row>
    <row r="144" spans="1:2" x14ac:dyDescent="0.25">
      <c r="A144" s="2">
        <v>54007</v>
      </c>
      <c r="B144" s="3" t="s">
        <v>285</v>
      </c>
    </row>
    <row r="145" spans="1:2" x14ac:dyDescent="0.25">
      <c r="A145" s="2">
        <v>59002</v>
      </c>
      <c r="B145" s="3" t="s">
        <v>286</v>
      </c>
    </row>
    <row r="146" spans="1:2" x14ac:dyDescent="0.25">
      <c r="A146" s="2">
        <v>2006</v>
      </c>
      <c r="B146" s="3" t="s">
        <v>287</v>
      </c>
    </row>
    <row r="147" spans="1:2" x14ac:dyDescent="0.25">
      <c r="A147" s="2">
        <v>55004</v>
      </c>
      <c r="B147" s="3" t="s">
        <v>288</v>
      </c>
    </row>
    <row r="148" spans="1:2" x14ac:dyDescent="0.25">
      <c r="A148" s="2">
        <v>63003</v>
      </c>
      <c r="B148" s="3" t="s">
        <v>289</v>
      </c>
    </row>
  </sheetData>
  <sheetProtection algorithmName="SHA-512" hashValue="CqYHTGk13B6Yjwu9ZZfVOawGgwOf0rtXUryLPHQ0nFzVKE24jg1FtO6+m5mp1nE2DrxtMGBeSaxVGkwrS80u2g==" saltValue="WwZlpqzSK/f4PSW7HUQtrw==" spinCount="100000" sheet="1" objects="1" scenarios="1"/>
  <phoneticPr fontId="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902D-2820-479D-8D48-20ED24B0E938}">
  <sheetPr>
    <pageSetUpPr fitToPage="1"/>
  </sheetPr>
  <dimension ref="A1:K353"/>
  <sheetViews>
    <sheetView workbookViewId="0">
      <pane ySplit="4" topLeftCell="A12" activePane="bottomLeft" state="frozen"/>
      <selection pane="bottomLeft" activeCell="A4" sqref="A4"/>
    </sheetView>
  </sheetViews>
  <sheetFormatPr defaultColWidth="9.140625" defaultRowHeight="15" x14ac:dyDescent="0.25"/>
  <cols>
    <col min="1" max="1" width="24.140625" style="212" customWidth="1"/>
    <col min="2" max="2" width="6" style="212" customWidth="1"/>
    <col min="3" max="3" width="11.42578125" style="212" customWidth="1"/>
    <col min="4" max="4" width="8" style="212" customWidth="1"/>
    <col min="5" max="5" width="13.140625" style="212" customWidth="1"/>
    <col min="6" max="6" width="9" style="212" customWidth="1"/>
    <col min="7" max="7" width="10.42578125" style="212" customWidth="1"/>
    <col min="8" max="8" width="11.42578125" style="212" customWidth="1"/>
    <col min="9" max="9" width="11.42578125" style="212" bestFit="1" customWidth="1"/>
    <col min="10" max="10" width="10.42578125" style="212" bestFit="1" customWidth="1"/>
    <col min="11" max="11" width="11.42578125" style="212" bestFit="1" customWidth="1"/>
    <col min="12" max="16384" width="9.140625" style="212"/>
  </cols>
  <sheetData>
    <row r="1" spans="1:11" ht="18.75" x14ac:dyDescent="0.3">
      <c r="A1" s="224" t="s">
        <v>462</v>
      </c>
      <c r="C1" s="211"/>
      <c r="D1" s="211"/>
      <c r="E1" s="211"/>
      <c r="F1" s="211"/>
      <c r="G1" s="211"/>
    </row>
    <row r="2" spans="1:11" x14ac:dyDescent="0.25">
      <c r="A2" s="225" t="s">
        <v>463</v>
      </c>
      <c r="C2" s="213"/>
      <c r="D2" s="213"/>
      <c r="E2" s="213"/>
      <c r="F2" s="213"/>
      <c r="G2" s="213"/>
      <c r="H2" s="213"/>
    </row>
    <row r="3" spans="1:11" ht="6.75" customHeight="1" x14ac:dyDescent="0.25">
      <c r="A3" s="211"/>
      <c r="B3" s="211"/>
      <c r="C3" s="211"/>
      <c r="D3" s="211"/>
      <c r="E3" s="211"/>
      <c r="F3" s="211"/>
      <c r="G3" s="211"/>
    </row>
    <row r="4" spans="1:11" s="211" customFormat="1" ht="63.75" x14ac:dyDescent="0.2">
      <c r="A4" s="226" t="s">
        <v>140</v>
      </c>
      <c r="B4" s="227" t="s">
        <v>139</v>
      </c>
      <c r="C4" s="214" t="s">
        <v>404</v>
      </c>
      <c r="D4" s="214" t="s">
        <v>405</v>
      </c>
      <c r="E4" s="214" t="s">
        <v>406</v>
      </c>
      <c r="F4" s="214" t="s">
        <v>407</v>
      </c>
      <c r="G4" s="214" t="s">
        <v>408</v>
      </c>
      <c r="H4" s="214" t="s">
        <v>409</v>
      </c>
      <c r="I4" s="214" t="s">
        <v>464</v>
      </c>
      <c r="J4" s="214" t="s">
        <v>419</v>
      </c>
      <c r="K4" s="214" t="s">
        <v>465</v>
      </c>
    </row>
    <row r="5" spans="1:11" s="211" customFormat="1" ht="12.75" x14ac:dyDescent="0.2">
      <c r="A5" s="228" t="s">
        <v>141</v>
      </c>
      <c r="B5" s="229">
        <v>6001</v>
      </c>
      <c r="C5" s="230">
        <v>566268.16000000003</v>
      </c>
      <c r="D5" s="230">
        <v>0</v>
      </c>
      <c r="E5" s="230">
        <v>372286.76</v>
      </c>
      <c r="F5" s="230">
        <v>20201.400000000001</v>
      </c>
      <c r="G5" s="230">
        <v>0</v>
      </c>
      <c r="H5" s="230">
        <v>341121.4</v>
      </c>
      <c r="I5" s="230">
        <f t="shared" ref="I5:I36" si="0">SUM(C5:H5)</f>
        <v>1299877.7200000002</v>
      </c>
      <c r="J5" s="230">
        <v>0</v>
      </c>
      <c r="K5" s="230">
        <f t="shared" ref="K5:K68" si="1">I5-J5</f>
        <v>1299877.7200000002</v>
      </c>
    </row>
    <row r="6" spans="1:11" s="211" customFormat="1" ht="12.75" x14ac:dyDescent="0.2">
      <c r="A6" s="228" t="s">
        <v>142</v>
      </c>
      <c r="B6" s="229">
        <v>58003</v>
      </c>
      <c r="C6" s="230">
        <v>1048580.3600000001</v>
      </c>
      <c r="D6" s="230">
        <v>0</v>
      </c>
      <c r="E6" s="230">
        <v>26391.08</v>
      </c>
      <c r="F6" s="230">
        <v>0</v>
      </c>
      <c r="G6" s="230">
        <v>0</v>
      </c>
      <c r="H6" s="230">
        <v>47209.7</v>
      </c>
      <c r="I6" s="230">
        <f t="shared" si="0"/>
        <v>1122181.1400000001</v>
      </c>
      <c r="J6" s="230">
        <v>0</v>
      </c>
      <c r="K6" s="230">
        <f t="shared" si="1"/>
        <v>1122181.1400000001</v>
      </c>
    </row>
    <row r="7" spans="1:11" s="211" customFormat="1" ht="12.75" x14ac:dyDescent="0.2">
      <c r="A7" s="228" t="s">
        <v>143</v>
      </c>
      <c r="B7" s="229">
        <v>61001</v>
      </c>
      <c r="C7" s="230">
        <v>92373.48</v>
      </c>
      <c r="D7" s="230">
        <v>0</v>
      </c>
      <c r="E7" s="230">
        <v>37771.07</v>
      </c>
      <c r="F7" s="230">
        <v>0</v>
      </c>
      <c r="G7" s="230">
        <v>0</v>
      </c>
      <c r="H7" s="230">
        <v>50587.45</v>
      </c>
      <c r="I7" s="230">
        <f t="shared" si="0"/>
        <v>180732</v>
      </c>
      <c r="J7" s="230">
        <v>0</v>
      </c>
      <c r="K7" s="230">
        <f t="shared" si="1"/>
        <v>180732</v>
      </c>
    </row>
    <row r="8" spans="1:11" s="211" customFormat="1" ht="12.75" x14ac:dyDescent="0.2">
      <c r="A8" s="228" t="s">
        <v>144</v>
      </c>
      <c r="B8" s="229">
        <v>11001</v>
      </c>
      <c r="C8" s="230">
        <v>94908.43</v>
      </c>
      <c r="D8" s="230">
        <v>0</v>
      </c>
      <c r="E8" s="230">
        <v>16826.84</v>
      </c>
      <c r="F8" s="230">
        <v>255.54</v>
      </c>
      <c r="G8" s="230">
        <v>0</v>
      </c>
      <c r="H8" s="230">
        <v>19925.66</v>
      </c>
      <c r="I8" s="230">
        <f t="shared" si="0"/>
        <v>131916.46999999997</v>
      </c>
      <c r="J8" s="230">
        <v>0</v>
      </c>
      <c r="K8" s="230">
        <f t="shared" si="1"/>
        <v>131916.46999999997</v>
      </c>
    </row>
    <row r="9" spans="1:11" s="211" customFormat="1" ht="12.75" x14ac:dyDescent="0.2">
      <c r="A9" s="228" t="s">
        <v>145</v>
      </c>
      <c r="B9" s="229">
        <v>38001</v>
      </c>
      <c r="C9" s="230">
        <v>53895.08</v>
      </c>
      <c r="D9" s="230">
        <v>0</v>
      </c>
      <c r="E9" s="230">
        <v>16268.36</v>
      </c>
      <c r="F9" s="230">
        <v>955.16</v>
      </c>
      <c r="G9" s="230">
        <v>0</v>
      </c>
      <c r="H9" s="230">
        <v>37356.559999999998</v>
      </c>
      <c r="I9" s="230">
        <f t="shared" si="0"/>
        <v>108475.16</v>
      </c>
      <c r="J9" s="230">
        <v>0</v>
      </c>
      <c r="K9" s="230">
        <f t="shared" si="1"/>
        <v>108475.16</v>
      </c>
    </row>
    <row r="10" spans="1:11" s="211" customFormat="1" ht="12.75" x14ac:dyDescent="0.2">
      <c r="A10" s="228" t="s">
        <v>146</v>
      </c>
      <c r="B10" s="229">
        <v>21001</v>
      </c>
      <c r="C10" s="230">
        <v>57195.71</v>
      </c>
      <c r="D10" s="230">
        <v>0</v>
      </c>
      <c r="E10" s="230">
        <v>12976.55</v>
      </c>
      <c r="F10" s="230">
        <v>0</v>
      </c>
      <c r="G10" s="230">
        <v>0</v>
      </c>
      <c r="H10" s="230">
        <v>8478.89</v>
      </c>
      <c r="I10" s="230">
        <f t="shared" si="0"/>
        <v>78651.149999999994</v>
      </c>
      <c r="J10" s="230">
        <v>0</v>
      </c>
      <c r="K10" s="230">
        <f t="shared" si="1"/>
        <v>78651.149999999994</v>
      </c>
    </row>
    <row r="11" spans="1:11" s="211" customFormat="1" ht="12.75" x14ac:dyDescent="0.2">
      <c r="A11" s="228" t="s">
        <v>147</v>
      </c>
      <c r="B11" s="229">
        <v>4001</v>
      </c>
      <c r="C11" s="230">
        <v>47956.38</v>
      </c>
      <c r="D11" s="230">
        <v>2047.04</v>
      </c>
      <c r="E11" s="230">
        <v>10623.91</v>
      </c>
      <c r="F11" s="230">
        <v>0</v>
      </c>
      <c r="G11" s="230">
        <v>167264.88</v>
      </c>
      <c r="H11" s="230">
        <v>11618.9</v>
      </c>
      <c r="I11" s="230">
        <f t="shared" si="0"/>
        <v>239511.11000000002</v>
      </c>
      <c r="J11" s="230">
        <v>167264.88</v>
      </c>
      <c r="K11" s="230">
        <f t="shared" si="1"/>
        <v>72246.23000000001</v>
      </c>
    </row>
    <row r="12" spans="1:11" s="211" customFormat="1" ht="12.75" x14ac:dyDescent="0.2">
      <c r="A12" s="228" t="s">
        <v>148</v>
      </c>
      <c r="B12" s="229">
        <v>49001</v>
      </c>
      <c r="C12" s="230">
        <v>44363.14</v>
      </c>
      <c r="D12" s="230">
        <v>0</v>
      </c>
      <c r="E12" s="230">
        <v>19010.509999999998</v>
      </c>
      <c r="F12" s="230">
        <v>0</v>
      </c>
      <c r="G12" s="230">
        <v>0</v>
      </c>
      <c r="H12" s="230">
        <v>152497.26</v>
      </c>
      <c r="I12" s="230">
        <f t="shared" si="0"/>
        <v>215870.91</v>
      </c>
      <c r="J12" s="230">
        <v>0</v>
      </c>
      <c r="K12" s="230">
        <f t="shared" si="1"/>
        <v>215870.91</v>
      </c>
    </row>
    <row r="13" spans="1:11" s="211" customFormat="1" ht="12.75" x14ac:dyDescent="0.2">
      <c r="A13" s="228" t="s">
        <v>149</v>
      </c>
      <c r="B13" s="229">
        <v>9001</v>
      </c>
      <c r="C13" s="230">
        <v>52585.09</v>
      </c>
      <c r="D13" s="230">
        <v>0</v>
      </c>
      <c r="E13" s="230">
        <v>134907.35</v>
      </c>
      <c r="F13" s="230">
        <v>0</v>
      </c>
      <c r="G13" s="230">
        <v>0</v>
      </c>
      <c r="H13" s="230">
        <v>69150</v>
      </c>
      <c r="I13" s="230">
        <f t="shared" si="0"/>
        <v>256642.44</v>
      </c>
      <c r="J13" s="230">
        <v>0</v>
      </c>
      <c r="K13" s="230">
        <f t="shared" si="1"/>
        <v>256642.44</v>
      </c>
    </row>
    <row r="14" spans="1:11" s="211" customFormat="1" ht="12.75" x14ac:dyDescent="0.2">
      <c r="A14" s="228" t="s">
        <v>150</v>
      </c>
      <c r="B14" s="229">
        <v>3001</v>
      </c>
      <c r="C14" s="230">
        <v>163801.1</v>
      </c>
      <c r="D14" s="230">
        <v>0</v>
      </c>
      <c r="E14" s="230">
        <v>33461.72</v>
      </c>
      <c r="F14" s="230">
        <v>743.54</v>
      </c>
      <c r="G14" s="230">
        <v>0</v>
      </c>
      <c r="H14" s="230">
        <v>20780.59</v>
      </c>
      <c r="I14" s="230">
        <f t="shared" si="0"/>
        <v>218786.95</v>
      </c>
      <c r="J14" s="230">
        <v>0</v>
      </c>
      <c r="K14" s="230">
        <f t="shared" si="1"/>
        <v>218786.95</v>
      </c>
    </row>
    <row r="15" spans="1:11" s="211" customFormat="1" ht="12.75" x14ac:dyDescent="0.2">
      <c r="A15" s="228" t="s">
        <v>151</v>
      </c>
      <c r="B15" s="229">
        <v>61002</v>
      </c>
      <c r="C15" s="230">
        <v>94606.26</v>
      </c>
      <c r="D15" s="230">
        <v>0</v>
      </c>
      <c r="E15" s="230">
        <v>70495.649999999994</v>
      </c>
      <c r="F15" s="230">
        <v>0</v>
      </c>
      <c r="G15" s="230">
        <v>0</v>
      </c>
      <c r="H15" s="230">
        <v>138450.74</v>
      </c>
      <c r="I15" s="230">
        <f t="shared" si="0"/>
        <v>303552.64999999997</v>
      </c>
      <c r="J15" s="230">
        <v>0</v>
      </c>
      <c r="K15" s="230">
        <f t="shared" si="1"/>
        <v>303552.64999999997</v>
      </c>
    </row>
    <row r="16" spans="1:11" s="211" customFormat="1" ht="12.75" x14ac:dyDescent="0.2">
      <c r="A16" s="228" t="s">
        <v>152</v>
      </c>
      <c r="B16" s="229">
        <v>25001</v>
      </c>
      <c r="C16" s="230">
        <v>0</v>
      </c>
      <c r="D16" s="230">
        <v>0</v>
      </c>
      <c r="E16" s="230">
        <v>4553.6099999999997</v>
      </c>
      <c r="F16" s="230">
        <v>0</v>
      </c>
      <c r="G16" s="230">
        <v>0</v>
      </c>
      <c r="H16" s="230">
        <v>11083.83</v>
      </c>
      <c r="I16" s="230">
        <f t="shared" si="0"/>
        <v>15637.439999999999</v>
      </c>
      <c r="J16" s="230">
        <v>0</v>
      </c>
      <c r="K16" s="230">
        <f t="shared" si="1"/>
        <v>15637.439999999999</v>
      </c>
    </row>
    <row r="17" spans="1:11" s="211" customFormat="1" ht="12.75" x14ac:dyDescent="0.2">
      <c r="A17" s="228" t="s">
        <v>153</v>
      </c>
      <c r="B17" s="229">
        <v>52001</v>
      </c>
      <c r="C17" s="230">
        <v>94070.67</v>
      </c>
      <c r="D17" s="230">
        <v>0</v>
      </c>
      <c r="E17" s="230">
        <v>6408.66</v>
      </c>
      <c r="F17" s="230">
        <v>136.46</v>
      </c>
      <c r="G17" s="230">
        <v>0</v>
      </c>
      <c r="H17" s="230">
        <v>8414.65</v>
      </c>
      <c r="I17" s="230">
        <f t="shared" si="0"/>
        <v>109030.44</v>
      </c>
      <c r="J17" s="230">
        <v>0</v>
      </c>
      <c r="K17" s="230">
        <f t="shared" si="1"/>
        <v>109030.44</v>
      </c>
    </row>
    <row r="18" spans="1:11" s="211" customFormat="1" ht="12.75" x14ac:dyDescent="0.2">
      <c r="A18" s="228" t="s">
        <v>154</v>
      </c>
      <c r="B18" s="229">
        <v>4002</v>
      </c>
      <c r="C18" s="230">
        <v>151907.12</v>
      </c>
      <c r="D18" s="230">
        <v>10149.709999999999</v>
      </c>
      <c r="E18" s="230">
        <v>28842.560000000001</v>
      </c>
      <c r="F18" s="230">
        <v>0</v>
      </c>
      <c r="G18" s="230">
        <v>0</v>
      </c>
      <c r="H18" s="230">
        <v>27056.48</v>
      </c>
      <c r="I18" s="230">
        <f t="shared" si="0"/>
        <v>217955.87</v>
      </c>
      <c r="J18" s="230">
        <v>0</v>
      </c>
      <c r="K18" s="230">
        <f t="shared" si="1"/>
        <v>217955.87</v>
      </c>
    </row>
    <row r="19" spans="1:11" s="211" customFormat="1" ht="12.75" x14ac:dyDescent="0.2">
      <c r="A19" s="228" t="s">
        <v>155</v>
      </c>
      <c r="B19" s="229">
        <v>22001</v>
      </c>
      <c r="C19" s="230">
        <v>38664.089999999997</v>
      </c>
      <c r="D19" s="230">
        <v>0</v>
      </c>
      <c r="E19" s="230">
        <v>10787.97</v>
      </c>
      <c r="F19" s="230">
        <v>2642.97</v>
      </c>
      <c r="G19" s="230">
        <v>0</v>
      </c>
      <c r="H19" s="230">
        <v>16113.8</v>
      </c>
      <c r="I19" s="230">
        <f t="shared" si="0"/>
        <v>68208.83</v>
      </c>
      <c r="J19" s="230">
        <v>0</v>
      </c>
      <c r="K19" s="230">
        <f t="shared" si="1"/>
        <v>68208.83</v>
      </c>
    </row>
    <row r="20" spans="1:11" s="211" customFormat="1" ht="12.75" x14ac:dyDescent="0.2">
      <c r="A20" s="228" t="s">
        <v>156</v>
      </c>
      <c r="B20" s="229">
        <v>49002</v>
      </c>
      <c r="C20" s="230">
        <v>704704.17</v>
      </c>
      <c r="D20" s="230">
        <v>0</v>
      </c>
      <c r="E20" s="230">
        <v>188357.72</v>
      </c>
      <c r="F20" s="230">
        <v>0</v>
      </c>
      <c r="G20" s="230">
        <v>0</v>
      </c>
      <c r="H20" s="230">
        <v>1344089.86</v>
      </c>
      <c r="I20" s="230">
        <f t="shared" si="0"/>
        <v>2237151.75</v>
      </c>
      <c r="J20" s="230">
        <v>0</v>
      </c>
      <c r="K20" s="230">
        <f t="shared" si="1"/>
        <v>2237151.75</v>
      </c>
    </row>
    <row r="21" spans="1:11" s="211" customFormat="1" ht="12.75" x14ac:dyDescent="0.2">
      <c r="A21" s="228" t="s">
        <v>157</v>
      </c>
      <c r="B21" s="229">
        <v>30003</v>
      </c>
      <c r="C21" s="230">
        <v>64205.59</v>
      </c>
      <c r="D21" s="230">
        <v>0</v>
      </c>
      <c r="E21" s="230">
        <v>29938.89</v>
      </c>
      <c r="F21" s="230">
        <v>0</v>
      </c>
      <c r="G21" s="230">
        <v>0</v>
      </c>
      <c r="H21" s="230">
        <v>16140.34</v>
      </c>
      <c r="I21" s="230">
        <f t="shared" si="0"/>
        <v>110284.81999999999</v>
      </c>
      <c r="J21" s="230">
        <v>0</v>
      </c>
      <c r="K21" s="230">
        <f t="shared" si="1"/>
        <v>110284.81999999999</v>
      </c>
    </row>
    <row r="22" spans="1:11" s="211" customFormat="1" ht="12.75" x14ac:dyDescent="0.2">
      <c r="A22" s="228" t="s">
        <v>158</v>
      </c>
      <c r="B22" s="229">
        <v>45004</v>
      </c>
      <c r="C22" s="230">
        <v>230188.85</v>
      </c>
      <c r="D22" s="230">
        <v>0</v>
      </c>
      <c r="E22" s="230">
        <v>19431.18</v>
      </c>
      <c r="F22" s="230">
        <v>0</v>
      </c>
      <c r="G22" s="230">
        <v>0</v>
      </c>
      <c r="H22" s="230">
        <v>44551.61</v>
      </c>
      <c r="I22" s="230">
        <f t="shared" si="0"/>
        <v>294171.64</v>
      </c>
      <c r="J22" s="230">
        <v>0</v>
      </c>
      <c r="K22" s="230">
        <f t="shared" si="1"/>
        <v>294171.64</v>
      </c>
    </row>
    <row r="23" spans="1:11" s="211" customFormat="1" ht="12.75" x14ac:dyDescent="0.2">
      <c r="A23" s="228" t="s">
        <v>159</v>
      </c>
      <c r="B23" s="229">
        <v>5001</v>
      </c>
      <c r="C23" s="230">
        <v>514363.51</v>
      </c>
      <c r="D23" s="230">
        <v>0</v>
      </c>
      <c r="E23" s="230">
        <v>271035.96999999997</v>
      </c>
      <c r="F23" s="230">
        <v>0</v>
      </c>
      <c r="G23" s="230">
        <v>0</v>
      </c>
      <c r="H23" s="230">
        <v>410211.57</v>
      </c>
      <c r="I23" s="230">
        <f t="shared" si="0"/>
        <v>1195611.05</v>
      </c>
      <c r="J23" s="230">
        <v>0</v>
      </c>
      <c r="K23" s="230">
        <f t="shared" si="1"/>
        <v>1195611.05</v>
      </c>
    </row>
    <row r="24" spans="1:11" s="211" customFormat="1" ht="12.75" x14ac:dyDescent="0.2">
      <c r="A24" s="228" t="s">
        <v>160</v>
      </c>
      <c r="B24" s="229">
        <v>26002</v>
      </c>
      <c r="C24" s="230">
        <v>65464.33</v>
      </c>
      <c r="D24" s="230">
        <v>0</v>
      </c>
      <c r="E24" s="230">
        <v>7771.69</v>
      </c>
      <c r="F24" s="230">
        <v>3590.79</v>
      </c>
      <c r="G24" s="230">
        <v>0</v>
      </c>
      <c r="H24" s="230">
        <v>21057.119999999999</v>
      </c>
      <c r="I24" s="230">
        <f t="shared" si="0"/>
        <v>97883.93</v>
      </c>
      <c r="J24" s="230">
        <v>0</v>
      </c>
      <c r="K24" s="230">
        <f t="shared" si="1"/>
        <v>97883.93</v>
      </c>
    </row>
    <row r="25" spans="1:11" s="211" customFormat="1" ht="12.75" x14ac:dyDescent="0.2">
      <c r="A25" s="228" t="s">
        <v>161</v>
      </c>
      <c r="B25" s="229">
        <v>43001</v>
      </c>
      <c r="C25" s="230">
        <v>63915.839999999997</v>
      </c>
      <c r="D25" s="230">
        <v>0</v>
      </c>
      <c r="E25" s="230">
        <v>29204.92</v>
      </c>
      <c r="F25" s="230">
        <v>0</v>
      </c>
      <c r="G25" s="230">
        <v>0</v>
      </c>
      <c r="H25" s="230">
        <v>11027.98</v>
      </c>
      <c r="I25" s="230">
        <f t="shared" si="0"/>
        <v>104148.73999999999</v>
      </c>
      <c r="J25" s="230">
        <v>0</v>
      </c>
      <c r="K25" s="230">
        <f t="shared" si="1"/>
        <v>104148.73999999999</v>
      </c>
    </row>
    <row r="26" spans="1:11" s="211" customFormat="1" ht="12.75" x14ac:dyDescent="0.2">
      <c r="A26" s="228" t="s">
        <v>162</v>
      </c>
      <c r="B26" s="229">
        <v>41001</v>
      </c>
      <c r="C26" s="230">
        <v>304562.89</v>
      </c>
      <c r="D26" s="230">
        <v>0</v>
      </c>
      <c r="E26" s="230">
        <v>29259.5</v>
      </c>
      <c r="F26" s="230">
        <v>0</v>
      </c>
      <c r="G26" s="230">
        <v>0</v>
      </c>
      <c r="H26" s="230">
        <v>91917.88</v>
      </c>
      <c r="I26" s="230">
        <f t="shared" si="0"/>
        <v>425740.27</v>
      </c>
      <c r="J26" s="230">
        <v>0</v>
      </c>
      <c r="K26" s="230">
        <f t="shared" si="1"/>
        <v>425740.27</v>
      </c>
    </row>
    <row r="27" spans="1:11" s="211" customFormat="1" ht="12.75" x14ac:dyDescent="0.2">
      <c r="A27" s="228" t="s">
        <v>163</v>
      </c>
      <c r="B27" s="229">
        <v>28001</v>
      </c>
      <c r="C27" s="230">
        <v>87807.87</v>
      </c>
      <c r="D27" s="230">
        <v>0</v>
      </c>
      <c r="E27" s="230">
        <v>16549.810000000001</v>
      </c>
      <c r="F27" s="230">
        <v>188.6</v>
      </c>
      <c r="G27" s="230">
        <v>0</v>
      </c>
      <c r="H27" s="230">
        <v>13758.81</v>
      </c>
      <c r="I27" s="230">
        <f t="shared" si="0"/>
        <v>118305.09</v>
      </c>
      <c r="J27" s="230">
        <v>0</v>
      </c>
      <c r="K27" s="230">
        <f t="shared" si="1"/>
        <v>118305.09</v>
      </c>
    </row>
    <row r="28" spans="1:11" s="211" customFormat="1" ht="12.75" x14ac:dyDescent="0.2">
      <c r="A28" s="228" t="s">
        <v>164</v>
      </c>
      <c r="B28" s="229">
        <v>60001</v>
      </c>
      <c r="C28" s="230">
        <v>68649.570000000007</v>
      </c>
      <c r="D28" s="230">
        <v>0</v>
      </c>
      <c r="E28" s="230">
        <v>10916.16</v>
      </c>
      <c r="F28" s="230">
        <v>0</v>
      </c>
      <c r="G28" s="230">
        <v>0</v>
      </c>
      <c r="H28" s="230">
        <v>12716.07</v>
      </c>
      <c r="I28" s="230">
        <f t="shared" si="0"/>
        <v>92281.800000000017</v>
      </c>
      <c r="J28" s="230">
        <v>0</v>
      </c>
      <c r="K28" s="230">
        <f t="shared" si="1"/>
        <v>92281.800000000017</v>
      </c>
    </row>
    <row r="29" spans="1:11" s="211" customFormat="1" ht="12.75" x14ac:dyDescent="0.2">
      <c r="A29" s="228" t="s">
        <v>165</v>
      </c>
      <c r="B29" s="229">
        <v>7001</v>
      </c>
      <c r="C29" s="230">
        <v>304571.19</v>
      </c>
      <c r="D29" s="230">
        <v>0</v>
      </c>
      <c r="E29" s="230">
        <v>73673.95</v>
      </c>
      <c r="F29" s="230">
        <v>0</v>
      </c>
      <c r="G29" s="230">
        <v>0</v>
      </c>
      <c r="H29" s="230">
        <v>41551.050000000003</v>
      </c>
      <c r="I29" s="230">
        <f t="shared" si="0"/>
        <v>419796.19</v>
      </c>
      <c r="J29" s="230">
        <v>0</v>
      </c>
      <c r="K29" s="230">
        <f t="shared" si="1"/>
        <v>419796.19</v>
      </c>
    </row>
    <row r="30" spans="1:11" s="211" customFormat="1" ht="12.75" x14ac:dyDescent="0.2">
      <c r="A30" s="228" t="s">
        <v>166</v>
      </c>
      <c r="B30" s="229">
        <v>39001</v>
      </c>
      <c r="C30" s="230">
        <v>246820.4</v>
      </c>
      <c r="D30" s="230">
        <v>0</v>
      </c>
      <c r="E30" s="230">
        <v>8797.84</v>
      </c>
      <c r="F30" s="230">
        <v>0</v>
      </c>
      <c r="G30" s="230">
        <v>0</v>
      </c>
      <c r="H30" s="230">
        <v>32399.21</v>
      </c>
      <c r="I30" s="230">
        <f t="shared" si="0"/>
        <v>288017.45</v>
      </c>
      <c r="J30" s="230">
        <v>0</v>
      </c>
      <c r="K30" s="230">
        <f t="shared" si="1"/>
        <v>288017.45</v>
      </c>
    </row>
    <row r="31" spans="1:11" s="211" customFormat="1" ht="12.75" x14ac:dyDescent="0.2">
      <c r="A31" s="228" t="s">
        <v>167</v>
      </c>
      <c r="B31" s="229">
        <v>12002</v>
      </c>
      <c r="C31" s="230">
        <v>237988.54</v>
      </c>
      <c r="D31" s="230">
        <v>0</v>
      </c>
      <c r="E31" s="230">
        <v>21813.49</v>
      </c>
      <c r="F31" s="230">
        <v>0</v>
      </c>
      <c r="G31" s="230">
        <v>384199.71</v>
      </c>
      <c r="H31" s="230">
        <v>14859.14</v>
      </c>
      <c r="I31" s="230">
        <f t="shared" si="0"/>
        <v>658860.88</v>
      </c>
      <c r="J31" s="230">
        <v>280244.17599999998</v>
      </c>
      <c r="K31" s="230">
        <f t="shared" si="1"/>
        <v>378616.70400000003</v>
      </c>
    </row>
    <row r="32" spans="1:11" s="211" customFormat="1" ht="12.75" x14ac:dyDescent="0.2">
      <c r="A32" s="228" t="s">
        <v>168</v>
      </c>
      <c r="B32" s="229">
        <v>50005</v>
      </c>
      <c r="C32" s="230">
        <v>65402.720000000001</v>
      </c>
      <c r="D32" s="230">
        <v>0</v>
      </c>
      <c r="E32" s="230">
        <v>37974.58</v>
      </c>
      <c r="F32" s="230">
        <v>0</v>
      </c>
      <c r="G32" s="230">
        <v>0</v>
      </c>
      <c r="H32" s="230">
        <v>8715.9699999999993</v>
      </c>
      <c r="I32" s="230">
        <f t="shared" si="0"/>
        <v>112093.27</v>
      </c>
      <c r="J32" s="230">
        <v>0</v>
      </c>
      <c r="K32" s="230">
        <f t="shared" si="1"/>
        <v>112093.27</v>
      </c>
    </row>
    <row r="33" spans="1:11" s="211" customFormat="1" ht="12.75" x14ac:dyDescent="0.2">
      <c r="A33" s="228" t="s">
        <v>169</v>
      </c>
      <c r="B33" s="229">
        <v>59003</v>
      </c>
      <c r="C33" s="230">
        <v>57992.72</v>
      </c>
      <c r="D33" s="230">
        <v>0</v>
      </c>
      <c r="E33" s="230">
        <v>9822.24</v>
      </c>
      <c r="F33" s="230">
        <v>0</v>
      </c>
      <c r="G33" s="230">
        <v>0</v>
      </c>
      <c r="H33" s="230">
        <v>18545.990000000002</v>
      </c>
      <c r="I33" s="230">
        <f t="shared" si="0"/>
        <v>86360.950000000012</v>
      </c>
      <c r="J33" s="230">
        <v>0</v>
      </c>
      <c r="K33" s="230">
        <f t="shared" si="1"/>
        <v>86360.950000000012</v>
      </c>
    </row>
    <row r="34" spans="1:11" s="211" customFormat="1" ht="12.75" x14ac:dyDescent="0.2">
      <c r="A34" s="228" t="s">
        <v>170</v>
      </c>
      <c r="B34" s="229">
        <v>21003</v>
      </c>
      <c r="C34" s="230">
        <v>110345.34</v>
      </c>
      <c r="D34" s="230">
        <v>0</v>
      </c>
      <c r="E34" s="230">
        <v>27474.77</v>
      </c>
      <c r="F34" s="230">
        <v>0</v>
      </c>
      <c r="G34" s="230">
        <v>0</v>
      </c>
      <c r="H34" s="230">
        <v>24526.48</v>
      </c>
      <c r="I34" s="230">
        <f t="shared" si="0"/>
        <v>162346.59</v>
      </c>
      <c r="J34" s="230">
        <v>0</v>
      </c>
      <c r="K34" s="230">
        <f t="shared" si="1"/>
        <v>162346.59</v>
      </c>
    </row>
    <row r="35" spans="1:11" s="211" customFormat="1" ht="12.75" x14ac:dyDescent="0.2">
      <c r="A35" s="228" t="s">
        <v>171</v>
      </c>
      <c r="B35" s="229">
        <v>16001</v>
      </c>
      <c r="C35" s="230">
        <v>353431.42</v>
      </c>
      <c r="D35" s="230">
        <v>0</v>
      </c>
      <c r="E35" s="230">
        <v>45252.41</v>
      </c>
      <c r="F35" s="230">
        <v>0</v>
      </c>
      <c r="G35" s="230">
        <v>0</v>
      </c>
      <c r="H35" s="230">
        <v>33178</v>
      </c>
      <c r="I35" s="230">
        <f t="shared" si="0"/>
        <v>431861.82999999996</v>
      </c>
      <c r="J35" s="230">
        <v>0</v>
      </c>
      <c r="K35" s="230">
        <f t="shared" si="1"/>
        <v>431861.82999999996</v>
      </c>
    </row>
    <row r="36" spans="1:11" s="211" customFormat="1" ht="12.75" x14ac:dyDescent="0.2">
      <c r="A36" s="228" t="s">
        <v>172</v>
      </c>
      <c r="B36" s="229">
        <v>61008</v>
      </c>
      <c r="C36" s="230">
        <v>56278.63</v>
      </c>
      <c r="D36" s="230">
        <v>0</v>
      </c>
      <c r="E36" s="230">
        <v>167081.21</v>
      </c>
      <c r="F36" s="230">
        <v>0</v>
      </c>
      <c r="G36" s="230">
        <v>0</v>
      </c>
      <c r="H36" s="230">
        <v>204870.72</v>
      </c>
      <c r="I36" s="230">
        <f t="shared" si="0"/>
        <v>428230.56</v>
      </c>
      <c r="J36" s="230">
        <v>0</v>
      </c>
      <c r="K36" s="230">
        <f t="shared" si="1"/>
        <v>428230.56</v>
      </c>
    </row>
    <row r="37" spans="1:11" s="211" customFormat="1" ht="12.75" x14ac:dyDescent="0.2">
      <c r="A37" s="228" t="s">
        <v>173</v>
      </c>
      <c r="B37" s="229">
        <v>38002</v>
      </c>
      <c r="C37" s="230">
        <v>54696.93</v>
      </c>
      <c r="D37" s="230">
        <v>0</v>
      </c>
      <c r="E37" s="230">
        <v>15196.3</v>
      </c>
      <c r="F37" s="230">
        <v>12379.4</v>
      </c>
      <c r="G37" s="230">
        <v>0</v>
      </c>
      <c r="H37" s="230">
        <v>33926.01</v>
      </c>
      <c r="I37" s="230">
        <f t="shared" ref="I37:I100" si="2">SUM(C37:H37)</f>
        <v>116198.63999999998</v>
      </c>
      <c r="J37" s="230">
        <v>0</v>
      </c>
      <c r="K37" s="230">
        <f t="shared" si="1"/>
        <v>116198.63999999998</v>
      </c>
    </row>
    <row r="38" spans="1:11" s="211" customFormat="1" ht="12.75" x14ac:dyDescent="0.2">
      <c r="A38" s="228" t="s">
        <v>174</v>
      </c>
      <c r="B38" s="229">
        <v>49003</v>
      </c>
      <c r="C38" s="230">
        <v>251609.38</v>
      </c>
      <c r="D38" s="230">
        <v>0</v>
      </c>
      <c r="E38" s="230">
        <v>42554.52</v>
      </c>
      <c r="F38" s="230">
        <v>0</v>
      </c>
      <c r="G38" s="230">
        <v>0</v>
      </c>
      <c r="H38" s="230">
        <v>259240.07</v>
      </c>
      <c r="I38" s="230">
        <f t="shared" si="2"/>
        <v>553403.97</v>
      </c>
      <c r="J38" s="230">
        <v>0</v>
      </c>
      <c r="K38" s="230">
        <f t="shared" si="1"/>
        <v>553403.97</v>
      </c>
    </row>
    <row r="39" spans="1:11" s="211" customFormat="1" ht="12.75" x14ac:dyDescent="0.2">
      <c r="A39" s="228" t="s">
        <v>175</v>
      </c>
      <c r="B39" s="229">
        <v>5006</v>
      </c>
      <c r="C39" s="230">
        <v>126293.93</v>
      </c>
      <c r="D39" s="230">
        <v>0</v>
      </c>
      <c r="E39" s="230">
        <v>31731.45</v>
      </c>
      <c r="F39" s="230">
        <v>455.19</v>
      </c>
      <c r="G39" s="230">
        <v>663517.30000000005</v>
      </c>
      <c r="H39" s="230">
        <v>37152.76</v>
      </c>
      <c r="I39" s="230">
        <f t="shared" si="2"/>
        <v>859150.63000000012</v>
      </c>
      <c r="J39" s="230">
        <v>232815.14</v>
      </c>
      <c r="K39" s="230">
        <f t="shared" si="1"/>
        <v>626335.49000000011</v>
      </c>
    </row>
    <row r="40" spans="1:11" s="211" customFormat="1" ht="12.75" x14ac:dyDescent="0.2">
      <c r="A40" s="228" t="s">
        <v>176</v>
      </c>
      <c r="B40" s="229">
        <v>19004</v>
      </c>
      <c r="C40" s="230">
        <v>243352.02</v>
      </c>
      <c r="D40" s="230">
        <v>0</v>
      </c>
      <c r="E40" s="230">
        <v>94284.38</v>
      </c>
      <c r="F40" s="230">
        <v>1241.1600000000001</v>
      </c>
      <c r="G40" s="230">
        <v>705292.62</v>
      </c>
      <c r="H40" s="230">
        <v>31181.17</v>
      </c>
      <c r="I40" s="230">
        <f t="shared" si="2"/>
        <v>1075351.3499999999</v>
      </c>
      <c r="J40" s="230">
        <v>705292.62</v>
      </c>
      <c r="K40" s="230">
        <f t="shared" si="1"/>
        <v>370058.72999999986</v>
      </c>
    </row>
    <row r="41" spans="1:11" s="211" customFormat="1" ht="12.75" x14ac:dyDescent="0.2">
      <c r="A41" s="228" t="s">
        <v>177</v>
      </c>
      <c r="B41" s="229">
        <v>56002</v>
      </c>
      <c r="C41" s="230">
        <v>72777.2</v>
      </c>
      <c r="D41" s="230">
        <v>0</v>
      </c>
      <c r="E41" s="230">
        <v>5924.85</v>
      </c>
      <c r="F41" s="230">
        <v>0</v>
      </c>
      <c r="G41" s="230">
        <v>0</v>
      </c>
      <c r="H41" s="230">
        <v>12298.93</v>
      </c>
      <c r="I41" s="230">
        <f t="shared" si="2"/>
        <v>91000.98000000001</v>
      </c>
      <c r="J41" s="230">
        <v>0</v>
      </c>
      <c r="K41" s="230">
        <f t="shared" si="1"/>
        <v>91000.98000000001</v>
      </c>
    </row>
    <row r="42" spans="1:11" s="211" customFormat="1" ht="12.75" x14ac:dyDescent="0.2">
      <c r="A42" s="228" t="s">
        <v>178</v>
      </c>
      <c r="B42" s="229">
        <v>51001</v>
      </c>
      <c r="C42" s="230">
        <v>152786.82999999999</v>
      </c>
      <c r="D42" s="230">
        <v>0</v>
      </c>
      <c r="E42" s="230">
        <v>206493.4</v>
      </c>
      <c r="F42" s="230">
        <v>0</v>
      </c>
      <c r="G42" s="230">
        <v>0</v>
      </c>
      <c r="H42" s="230">
        <v>89346.64</v>
      </c>
      <c r="I42" s="230">
        <f t="shared" si="2"/>
        <v>448626.87</v>
      </c>
      <c r="J42" s="230">
        <v>0</v>
      </c>
      <c r="K42" s="230">
        <f t="shared" si="1"/>
        <v>448626.87</v>
      </c>
    </row>
    <row r="43" spans="1:11" s="211" customFormat="1" ht="12.75" x14ac:dyDescent="0.2">
      <c r="A43" s="228" t="s">
        <v>179</v>
      </c>
      <c r="B43" s="229">
        <v>64002</v>
      </c>
      <c r="C43" s="230">
        <v>30018.76</v>
      </c>
      <c r="D43" s="230">
        <v>0</v>
      </c>
      <c r="E43" s="230">
        <v>876.24</v>
      </c>
      <c r="F43" s="230">
        <v>0</v>
      </c>
      <c r="G43" s="230">
        <v>0</v>
      </c>
      <c r="H43" s="230">
        <v>39031.96</v>
      </c>
      <c r="I43" s="230">
        <f t="shared" si="2"/>
        <v>69926.959999999992</v>
      </c>
      <c r="J43" s="230">
        <v>0</v>
      </c>
      <c r="K43" s="230">
        <f t="shared" si="1"/>
        <v>69926.959999999992</v>
      </c>
    </row>
    <row r="44" spans="1:11" s="211" customFormat="1" ht="12.75" x14ac:dyDescent="0.2">
      <c r="A44" s="228" t="s">
        <v>180</v>
      </c>
      <c r="B44" s="229">
        <v>20001</v>
      </c>
      <c r="C44" s="230">
        <v>94308.28</v>
      </c>
      <c r="D44" s="230">
        <v>0</v>
      </c>
      <c r="E44" s="230">
        <v>12810.68</v>
      </c>
      <c r="F44" s="230">
        <v>0</v>
      </c>
      <c r="G44" s="230">
        <v>0</v>
      </c>
      <c r="H44" s="230">
        <v>18352.54</v>
      </c>
      <c r="I44" s="230">
        <f t="shared" si="2"/>
        <v>125471.5</v>
      </c>
      <c r="J44" s="230">
        <v>0</v>
      </c>
      <c r="K44" s="230">
        <f t="shared" si="1"/>
        <v>125471.5</v>
      </c>
    </row>
    <row r="45" spans="1:11" s="211" customFormat="1" ht="12.75" x14ac:dyDescent="0.2">
      <c r="A45" s="228" t="s">
        <v>181</v>
      </c>
      <c r="B45" s="229">
        <v>23001</v>
      </c>
      <c r="C45" s="230">
        <v>41124.44</v>
      </c>
      <c r="D45" s="230">
        <v>0</v>
      </c>
      <c r="E45" s="230">
        <v>14837.88</v>
      </c>
      <c r="F45" s="230">
        <v>0</v>
      </c>
      <c r="G45" s="230">
        <v>0</v>
      </c>
      <c r="H45" s="230">
        <v>4546.6099999999997</v>
      </c>
      <c r="I45" s="230">
        <f t="shared" si="2"/>
        <v>60508.93</v>
      </c>
      <c r="J45" s="230">
        <v>0</v>
      </c>
      <c r="K45" s="230">
        <f t="shared" si="1"/>
        <v>60508.93</v>
      </c>
    </row>
    <row r="46" spans="1:11" s="211" customFormat="1" ht="12.75" x14ac:dyDescent="0.2">
      <c r="A46" s="228" t="s">
        <v>182</v>
      </c>
      <c r="B46" s="229">
        <v>22005</v>
      </c>
      <c r="C46" s="230">
        <v>49070.34</v>
      </c>
      <c r="D46" s="230">
        <v>0</v>
      </c>
      <c r="E46" s="230">
        <v>17569.5</v>
      </c>
      <c r="F46" s="230">
        <v>0</v>
      </c>
      <c r="G46" s="230">
        <v>0</v>
      </c>
      <c r="H46" s="230">
        <v>21525.54</v>
      </c>
      <c r="I46" s="230">
        <f t="shared" si="2"/>
        <v>88165.38</v>
      </c>
      <c r="J46" s="230">
        <v>0</v>
      </c>
      <c r="K46" s="230">
        <f t="shared" si="1"/>
        <v>88165.38</v>
      </c>
    </row>
    <row r="47" spans="1:11" s="211" customFormat="1" ht="12.75" x14ac:dyDescent="0.2">
      <c r="A47" s="228" t="s">
        <v>183</v>
      </c>
      <c r="B47" s="229">
        <v>16002</v>
      </c>
      <c r="C47" s="230">
        <v>5994.36</v>
      </c>
      <c r="D47" s="230">
        <v>0</v>
      </c>
      <c r="E47" s="230">
        <v>614.04999999999995</v>
      </c>
      <c r="F47" s="230">
        <v>0</v>
      </c>
      <c r="G47" s="230">
        <v>0</v>
      </c>
      <c r="H47" s="230">
        <v>0</v>
      </c>
      <c r="I47" s="230">
        <f t="shared" si="2"/>
        <v>6608.41</v>
      </c>
      <c r="J47" s="230">
        <v>0</v>
      </c>
      <c r="K47" s="230">
        <f t="shared" si="1"/>
        <v>6608.41</v>
      </c>
    </row>
    <row r="48" spans="1:11" s="211" customFormat="1" ht="12.75" x14ac:dyDescent="0.2">
      <c r="A48" s="228" t="s">
        <v>184</v>
      </c>
      <c r="B48" s="229">
        <v>61007</v>
      </c>
      <c r="C48" s="230">
        <v>106455.11</v>
      </c>
      <c r="D48" s="230">
        <v>0</v>
      </c>
      <c r="E48" s="230">
        <v>97637.54</v>
      </c>
      <c r="F48" s="230">
        <v>0</v>
      </c>
      <c r="G48" s="230">
        <v>0</v>
      </c>
      <c r="H48" s="230">
        <v>69345.63</v>
      </c>
      <c r="I48" s="230">
        <f t="shared" si="2"/>
        <v>273438.28000000003</v>
      </c>
      <c r="J48" s="230">
        <v>0</v>
      </c>
      <c r="K48" s="230">
        <f t="shared" si="1"/>
        <v>273438.28000000003</v>
      </c>
    </row>
    <row r="49" spans="1:11" s="211" customFormat="1" ht="12.75" x14ac:dyDescent="0.2">
      <c r="A49" s="228" t="s">
        <v>185</v>
      </c>
      <c r="B49" s="229">
        <v>5003</v>
      </c>
      <c r="C49" s="230">
        <v>111128.71</v>
      </c>
      <c r="D49" s="230">
        <v>0</v>
      </c>
      <c r="E49" s="230">
        <v>25275.25</v>
      </c>
      <c r="F49" s="230">
        <v>0</v>
      </c>
      <c r="G49" s="230">
        <v>107838.49</v>
      </c>
      <c r="H49" s="230">
        <v>53856.17</v>
      </c>
      <c r="I49" s="230">
        <f t="shared" si="2"/>
        <v>298098.62</v>
      </c>
      <c r="J49" s="230">
        <v>0</v>
      </c>
      <c r="K49" s="230">
        <f t="shared" si="1"/>
        <v>298098.62</v>
      </c>
    </row>
    <row r="50" spans="1:11" s="211" customFormat="1" ht="12.75" x14ac:dyDescent="0.2">
      <c r="A50" s="228" t="s">
        <v>186</v>
      </c>
      <c r="B50" s="229">
        <v>28002</v>
      </c>
      <c r="C50" s="230">
        <v>124931.42</v>
      </c>
      <c r="D50" s="230">
        <v>0</v>
      </c>
      <c r="E50" s="230">
        <v>15721.74</v>
      </c>
      <c r="F50" s="230">
        <v>111.57</v>
      </c>
      <c r="G50" s="230">
        <v>46256.7</v>
      </c>
      <c r="H50" s="230">
        <v>20110.96</v>
      </c>
      <c r="I50" s="230">
        <f t="shared" si="2"/>
        <v>207132.38999999998</v>
      </c>
      <c r="J50" s="230">
        <v>46256.7</v>
      </c>
      <c r="K50" s="230">
        <f t="shared" si="1"/>
        <v>160875.69</v>
      </c>
    </row>
    <row r="51" spans="1:11" s="211" customFormat="1" ht="12.75" x14ac:dyDescent="0.2">
      <c r="A51" s="228" t="s">
        <v>187</v>
      </c>
      <c r="B51" s="229">
        <v>17001</v>
      </c>
      <c r="C51" s="230">
        <v>23301.25</v>
      </c>
      <c r="D51" s="230">
        <v>0</v>
      </c>
      <c r="E51" s="230">
        <v>17196.53</v>
      </c>
      <c r="F51" s="230">
        <v>412.56</v>
      </c>
      <c r="G51" s="230">
        <v>0</v>
      </c>
      <c r="H51" s="230">
        <v>7205.5</v>
      </c>
      <c r="I51" s="230">
        <f t="shared" si="2"/>
        <v>48115.839999999997</v>
      </c>
      <c r="J51" s="230">
        <v>0</v>
      </c>
      <c r="K51" s="230">
        <f t="shared" si="1"/>
        <v>48115.839999999997</v>
      </c>
    </row>
    <row r="52" spans="1:11" s="211" customFormat="1" ht="12.75" x14ac:dyDescent="0.2">
      <c r="A52" s="228" t="s">
        <v>188</v>
      </c>
      <c r="B52" s="229">
        <v>44001</v>
      </c>
      <c r="C52" s="230">
        <v>34572.25</v>
      </c>
      <c r="D52" s="230">
        <v>0</v>
      </c>
      <c r="E52" s="230">
        <v>4998.97</v>
      </c>
      <c r="F52" s="230">
        <v>0</v>
      </c>
      <c r="G52" s="230">
        <v>0</v>
      </c>
      <c r="H52" s="230">
        <v>19943.3</v>
      </c>
      <c r="I52" s="230">
        <f t="shared" si="2"/>
        <v>59514.520000000004</v>
      </c>
      <c r="J52" s="230">
        <v>0</v>
      </c>
      <c r="K52" s="230">
        <f t="shared" si="1"/>
        <v>59514.520000000004</v>
      </c>
    </row>
    <row r="53" spans="1:11" s="211" customFormat="1" ht="12.75" x14ac:dyDescent="0.2">
      <c r="A53" s="228" t="s">
        <v>189</v>
      </c>
      <c r="B53" s="229">
        <v>46002</v>
      </c>
      <c r="C53" s="230">
        <v>25756.87</v>
      </c>
      <c r="D53" s="230">
        <v>0</v>
      </c>
      <c r="E53" s="230">
        <v>17237.919999999998</v>
      </c>
      <c r="F53" s="230">
        <v>0</v>
      </c>
      <c r="G53" s="230">
        <v>0</v>
      </c>
      <c r="H53" s="230">
        <v>10414.040000000001</v>
      </c>
      <c r="I53" s="230">
        <f t="shared" si="2"/>
        <v>53408.829999999994</v>
      </c>
      <c r="J53" s="230">
        <v>0</v>
      </c>
      <c r="K53" s="230">
        <f t="shared" si="1"/>
        <v>53408.829999999994</v>
      </c>
    </row>
    <row r="54" spans="1:11" s="211" customFormat="1" ht="12.75" x14ac:dyDescent="0.2">
      <c r="A54" s="228" t="s">
        <v>294</v>
      </c>
      <c r="B54" s="229">
        <v>24004</v>
      </c>
      <c r="C54" s="230">
        <v>107245.19</v>
      </c>
      <c r="D54" s="230">
        <v>0</v>
      </c>
      <c r="E54" s="230">
        <v>28513.39</v>
      </c>
      <c r="F54" s="230">
        <v>0</v>
      </c>
      <c r="G54" s="230">
        <v>0</v>
      </c>
      <c r="H54" s="230">
        <v>17656.349999999999</v>
      </c>
      <c r="I54" s="230">
        <f t="shared" si="2"/>
        <v>153414.93000000002</v>
      </c>
      <c r="J54" s="230">
        <v>0</v>
      </c>
      <c r="K54" s="230">
        <f t="shared" si="1"/>
        <v>153414.93000000002</v>
      </c>
    </row>
    <row r="55" spans="1:11" s="211" customFormat="1" ht="12.75" x14ac:dyDescent="0.2">
      <c r="A55" s="228" t="s">
        <v>191</v>
      </c>
      <c r="B55" s="229">
        <v>50003</v>
      </c>
      <c r="C55" s="230">
        <v>82767.98</v>
      </c>
      <c r="D55" s="230">
        <v>0</v>
      </c>
      <c r="E55" s="230">
        <v>92609.93</v>
      </c>
      <c r="F55" s="230">
        <v>0</v>
      </c>
      <c r="G55" s="230">
        <v>0</v>
      </c>
      <c r="H55" s="230">
        <v>13731.39</v>
      </c>
      <c r="I55" s="230">
        <f t="shared" si="2"/>
        <v>189109.3</v>
      </c>
      <c r="J55" s="230">
        <v>0</v>
      </c>
      <c r="K55" s="230">
        <f t="shared" si="1"/>
        <v>189109.3</v>
      </c>
    </row>
    <row r="56" spans="1:11" s="211" customFormat="1" ht="12.75" x14ac:dyDescent="0.2">
      <c r="A56" s="228" t="s">
        <v>192</v>
      </c>
      <c r="B56" s="229">
        <v>14001</v>
      </c>
      <c r="C56" s="230">
        <v>39874.629999999997</v>
      </c>
      <c r="D56" s="230">
        <v>0</v>
      </c>
      <c r="E56" s="230">
        <v>16585.849999999999</v>
      </c>
      <c r="F56" s="230">
        <v>0</v>
      </c>
      <c r="G56" s="230">
        <v>0</v>
      </c>
      <c r="H56" s="230">
        <v>15350.68</v>
      </c>
      <c r="I56" s="230">
        <f t="shared" si="2"/>
        <v>71811.16</v>
      </c>
      <c r="J56" s="230">
        <v>0</v>
      </c>
      <c r="K56" s="230">
        <f t="shared" si="1"/>
        <v>71811.16</v>
      </c>
    </row>
    <row r="57" spans="1:11" s="211" customFormat="1" ht="12.75" x14ac:dyDescent="0.2">
      <c r="A57" s="228" t="s">
        <v>193</v>
      </c>
      <c r="B57" s="229">
        <v>6002</v>
      </c>
      <c r="C57" s="230">
        <v>57677.69</v>
      </c>
      <c r="D57" s="230">
        <v>0</v>
      </c>
      <c r="E57" s="230">
        <v>8766.2900000000009</v>
      </c>
      <c r="F57" s="230">
        <v>0</v>
      </c>
      <c r="G57" s="230">
        <v>0</v>
      </c>
      <c r="H57" s="230">
        <v>24773.22</v>
      </c>
      <c r="I57" s="230">
        <f t="shared" si="2"/>
        <v>91217.200000000012</v>
      </c>
      <c r="J57" s="230">
        <v>0</v>
      </c>
      <c r="K57" s="230">
        <f t="shared" si="1"/>
        <v>91217.200000000012</v>
      </c>
    </row>
    <row r="58" spans="1:11" s="211" customFormat="1" ht="12.75" x14ac:dyDescent="0.2">
      <c r="A58" s="228" t="s">
        <v>194</v>
      </c>
      <c r="B58" s="229">
        <v>33001</v>
      </c>
      <c r="C58" s="230">
        <v>136400.89000000001</v>
      </c>
      <c r="D58" s="230">
        <v>0</v>
      </c>
      <c r="E58" s="230">
        <v>13688.15</v>
      </c>
      <c r="F58" s="230">
        <v>0</v>
      </c>
      <c r="G58" s="230">
        <v>0</v>
      </c>
      <c r="H58" s="230">
        <v>35396.160000000003</v>
      </c>
      <c r="I58" s="230">
        <f t="shared" si="2"/>
        <v>185485.2</v>
      </c>
      <c r="J58" s="230">
        <v>0</v>
      </c>
      <c r="K58" s="230">
        <f t="shared" si="1"/>
        <v>185485.2</v>
      </c>
    </row>
    <row r="59" spans="1:11" s="211" customFormat="1" ht="12.75" x14ac:dyDescent="0.2">
      <c r="A59" s="228" t="s">
        <v>195</v>
      </c>
      <c r="B59" s="229">
        <v>49004</v>
      </c>
      <c r="C59" s="230">
        <v>115192.35</v>
      </c>
      <c r="D59" s="230">
        <v>0</v>
      </c>
      <c r="E59" s="230">
        <v>17388.400000000001</v>
      </c>
      <c r="F59" s="230">
        <v>0</v>
      </c>
      <c r="G59" s="230">
        <v>0</v>
      </c>
      <c r="H59" s="230">
        <v>153595.01999999999</v>
      </c>
      <c r="I59" s="230">
        <f t="shared" si="2"/>
        <v>286175.77</v>
      </c>
      <c r="J59" s="230">
        <v>0</v>
      </c>
      <c r="K59" s="230">
        <f t="shared" si="1"/>
        <v>286175.77</v>
      </c>
    </row>
    <row r="60" spans="1:11" s="211" customFormat="1" ht="12.75" x14ac:dyDescent="0.2">
      <c r="A60" s="228" t="s">
        <v>196</v>
      </c>
      <c r="B60" s="229">
        <v>63001</v>
      </c>
      <c r="C60" s="230">
        <v>36268.43</v>
      </c>
      <c r="D60" s="230">
        <v>0</v>
      </c>
      <c r="E60" s="230">
        <v>19437.18</v>
      </c>
      <c r="F60" s="230">
        <v>0</v>
      </c>
      <c r="G60" s="230">
        <v>0</v>
      </c>
      <c r="H60" s="230">
        <v>31922.639999999999</v>
      </c>
      <c r="I60" s="230">
        <f t="shared" si="2"/>
        <v>87628.25</v>
      </c>
      <c r="J60" s="230">
        <v>0</v>
      </c>
      <c r="K60" s="230">
        <f t="shared" si="1"/>
        <v>87628.25</v>
      </c>
    </row>
    <row r="61" spans="1:11" s="211" customFormat="1" ht="12.75" x14ac:dyDescent="0.2">
      <c r="A61" s="228" t="s">
        <v>197</v>
      </c>
      <c r="B61" s="229">
        <v>53001</v>
      </c>
      <c r="C61" s="230">
        <v>61947.61</v>
      </c>
      <c r="D61" s="230">
        <v>0</v>
      </c>
      <c r="E61" s="230">
        <v>4952.7700000000004</v>
      </c>
      <c r="F61" s="230">
        <v>0</v>
      </c>
      <c r="G61" s="230">
        <v>0</v>
      </c>
      <c r="H61" s="230">
        <v>19822.73</v>
      </c>
      <c r="I61" s="230">
        <f t="shared" si="2"/>
        <v>86723.11</v>
      </c>
      <c r="J61" s="230">
        <v>0</v>
      </c>
      <c r="K61" s="230">
        <f t="shared" si="1"/>
        <v>86723.11</v>
      </c>
    </row>
    <row r="62" spans="1:11" s="211" customFormat="1" ht="12.75" x14ac:dyDescent="0.2">
      <c r="A62" s="228" t="s">
        <v>198</v>
      </c>
      <c r="B62" s="229">
        <v>26004</v>
      </c>
      <c r="C62" s="230">
        <v>129682.37</v>
      </c>
      <c r="D62" s="230">
        <v>0</v>
      </c>
      <c r="E62" s="230">
        <v>13735.73</v>
      </c>
      <c r="F62" s="230">
        <v>0</v>
      </c>
      <c r="G62" s="230">
        <v>0</v>
      </c>
      <c r="H62" s="230">
        <v>34207.839999999997</v>
      </c>
      <c r="I62" s="230">
        <f t="shared" si="2"/>
        <v>177625.94</v>
      </c>
      <c r="J62" s="230">
        <v>0</v>
      </c>
      <c r="K62" s="230">
        <f t="shared" si="1"/>
        <v>177625.94</v>
      </c>
    </row>
    <row r="63" spans="1:11" s="211" customFormat="1" ht="12.75" x14ac:dyDescent="0.2">
      <c r="A63" s="228" t="s">
        <v>199</v>
      </c>
      <c r="B63" s="229">
        <v>6006</v>
      </c>
      <c r="C63" s="230">
        <v>755493.86</v>
      </c>
      <c r="D63" s="230">
        <v>0</v>
      </c>
      <c r="E63" s="230">
        <v>42482.5</v>
      </c>
      <c r="F63" s="230">
        <v>147.66999999999999</v>
      </c>
      <c r="G63" s="230">
        <v>176392.61</v>
      </c>
      <c r="H63" s="230">
        <v>60286.78</v>
      </c>
      <c r="I63" s="230">
        <f t="shared" si="2"/>
        <v>1034803.42</v>
      </c>
      <c r="J63" s="230">
        <v>0</v>
      </c>
      <c r="K63" s="230">
        <f t="shared" si="1"/>
        <v>1034803.42</v>
      </c>
    </row>
    <row r="64" spans="1:11" s="211" customFormat="1" ht="12.75" x14ac:dyDescent="0.2">
      <c r="A64" s="228" t="s">
        <v>200</v>
      </c>
      <c r="B64" s="229">
        <v>27001</v>
      </c>
      <c r="C64" s="230">
        <v>117617.2</v>
      </c>
      <c r="D64" s="230">
        <v>0</v>
      </c>
      <c r="E64" s="230">
        <v>21430.91</v>
      </c>
      <c r="F64" s="230">
        <v>0</v>
      </c>
      <c r="G64" s="230">
        <v>0</v>
      </c>
      <c r="H64" s="230">
        <v>77256.7</v>
      </c>
      <c r="I64" s="230">
        <f t="shared" si="2"/>
        <v>216304.81</v>
      </c>
      <c r="J64" s="230">
        <v>0</v>
      </c>
      <c r="K64" s="230">
        <f t="shared" si="1"/>
        <v>216304.81</v>
      </c>
    </row>
    <row r="65" spans="1:11" s="211" customFormat="1" ht="12.75" x14ac:dyDescent="0.2">
      <c r="A65" s="228" t="s">
        <v>201</v>
      </c>
      <c r="B65" s="229">
        <v>28003</v>
      </c>
      <c r="C65" s="230">
        <v>247576.49</v>
      </c>
      <c r="D65" s="230">
        <v>0</v>
      </c>
      <c r="E65" s="230">
        <v>52803.49</v>
      </c>
      <c r="F65" s="230">
        <v>2033.64</v>
      </c>
      <c r="G65" s="230">
        <v>0</v>
      </c>
      <c r="H65" s="230">
        <v>33556.58</v>
      </c>
      <c r="I65" s="230">
        <f t="shared" si="2"/>
        <v>335970.2</v>
      </c>
      <c r="J65" s="230">
        <v>0</v>
      </c>
      <c r="K65" s="230">
        <f t="shared" si="1"/>
        <v>335970.2</v>
      </c>
    </row>
    <row r="66" spans="1:11" s="211" customFormat="1" ht="12.75" x14ac:dyDescent="0.2">
      <c r="A66" s="228" t="s">
        <v>202</v>
      </c>
      <c r="B66" s="229">
        <v>30001</v>
      </c>
      <c r="C66" s="230">
        <v>70087.7</v>
      </c>
      <c r="D66" s="230">
        <v>0</v>
      </c>
      <c r="E66" s="230">
        <v>33468.160000000003</v>
      </c>
      <c r="F66" s="230">
        <v>2039.25</v>
      </c>
      <c r="G66" s="230">
        <v>0</v>
      </c>
      <c r="H66" s="230">
        <v>14234.13</v>
      </c>
      <c r="I66" s="230">
        <f t="shared" si="2"/>
        <v>119829.24</v>
      </c>
      <c r="J66" s="230">
        <v>0</v>
      </c>
      <c r="K66" s="230">
        <f t="shared" si="1"/>
        <v>119829.24</v>
      </c>
    </row>
    <row r="67" spans="1:11" s="211" customFormat="1" ht="12.75" x14ac:dyDescent="0.2">
      <c r="A67" s="228" t="s">
        <v>203</v>
      </c>
      <c r="B67" s="229">
        <v>31001</v>
      </c>
      <c r="C67" s="230">
        <v>177990.79</v>
      </c>
      <c r="D67" s="230">
        <v>0</v>
      </c>
      <c r="E67" s="230">
        <v>8457.2999999999993</v>
      </c>
      <c r="F67" s="230">
        <v>0</v>
      </c>
      <c r="G67" s="230">
        <v>0</v>
      </c>
      <c r="H67" s="230">
        <v>16142.34</v>
      </c>
      <c r="I67" s="230">
        <f t="shared" si="2"/>
        <v>202590.43</v>
      </c>
      <c r="J67" s="230">
        <v>0</v>
      </c>
      <c r="K67" s="230">
        <f t="shared" si="1"/>
        <v>202590.43</v>
      </c>
    </row>
    <row r="68" spans="1:11" s="211" customFormat="1" ht="12.75" x14ac:dyDescent="0.2">
      <c r="A68" s="228" t="s">
        <v>204</v>
      </c>
      <c r="B68" s="229">
        <v>41002</v>
      </c>
      <c r="C68" s="230">
        <v>330125.96000000002</v>
      </c>
      <c r="D68" s="230">
        <v>0</v>
      </c>
      <c r="E68" s="230">
        <v>198337.84</v>
      </c>
      <c r="F68" s="230">
        <v>0</v>
      </c>
      <c r="G68" s="230">
        <v>0</v>
      </c>
      <c r="H68" s="230">
        <v>830920.85</v>
      </c>
      <c r="I68" s="230">
        <f t="shared" si="2"/>
        <v>1359384.65</v>
      </c>
      <c r="J68" s="230">
        <v>0</v>
      </c>
      <c r="K68" s="230">
        <f t="shared" si="1"/>
        <v>1359384.65</v>
      </c>
    </row>
    <row r="69" spans="1:11" s="211" customFormat="1" ht="12.75" x14ac:dyDescent="0.2">
      <c r="A69" s="228" t="s">
        <v>205</v>
      </c>
      <c r="B69" s="229">
        <v>14002</v>
      </c>
      <c r="C69" s="230">
        <v>22579.24</v>
      </c>
      <c r="D69" s="230">
        <v>0</v>
      </c>
      <c r="E69" s="230">
        <v>15460.91</v>
      </c>
      <c r="F69" s="230">
        <v>0</v>
      </c>
      <c r="G69" s="230">
        <v>0</v>
      </c>
      <c r="H69" s="230">
        <v>12804.84</v>
      </c>
      <c r="I69" s="230">
        <f t="shared" si="2"/>
        <v>50844.990000000005</v>
      </c>
      <c r="J69" s="230">
        <v>0</v>
      </c>
      <c r="K69" s="230">
        <f t="shared" ref="K69:K132" si="3">I69-J69</f>
        <v>50844.990000000005</v>
      </c>
    </row>
    <row r="70" spans="1:11" s="211" customFormat="1" ht="12.75" x14ac:dyDescent="0.2">
      <c r="A70" s="228" t="s">
        <v>206</v>
      </c>
      <c r="B70" s="229">
        <v>10001</v>
      </c>
      <c r="C70" s="230">
        <v>21347.19</v>
      </c>
      <c r="D70" s="230">
        <v>0</v>
      </c>
      <c r="E70" s="230">
        <v>9363.5300000000007</v>
      </c>
      <c r="F70" s="230">
        <v>0</v>
      </c>
      <c r="G70" s="230">
        <v>0</v>
      </c>
      <c r="H70" s="230">
        <v>25418.03</v>
      </c>
      <c r="I70" s="230">
        <f t="shared" si="2"/>
        <v>56128.75</v>
      </c>
      <c r="J70" s="230">
        <v>0</v>
      </c>
      <c r="K70" s="230">
        <f t="shared" si="3"/>
        <v>56128.75</v>
      </c>
    </row>
    <row r="71" spans="1:11" s="211" customFormat="1" ht="12.75" x14ac:dyDescent="0.2">
      <c r="A71" s="228" t="s">
        <v>207</v>
      </c>
      <c r="B71" s="229">
        <v>34002</v>
      </c>
      <c r="C71" s="230">
        <v>126260.94</v>
      </c>
      <c r="D71" s="230">
        <v>0</v>
      </c>
      <c r="E71" s="230">
        <v>26120.35</v>
      </c>
      <c r="F71" s="230">
        <v>0</v>
      </c>
      <c r="G71" s="230">
        <v>752720.66</v>
      </c>
      <c r="H71" s="230">
        <v>18541.46</v>
      </c>
      <c r="I71" s="230">
        <f t="shared" si="2"/>
        <v>923643.41</v>
      </c>
      <c r="J71" s="230">
        <v>752720.65999999992</v>
      </c>
      <c r="K71" s="230">
        <f t="shared" si="3"/>
        <v>170922.75000000012</v>
      </c>
    </row>
    <row r="72" spans="1:11" s="211" customFormat="1" ht="12.75" x14ac:dyDescent="0.2">
      <c r="A72" s="228" t="s">
        <v>208</v>
      </c>
      <c r="B72" s="229">
        <v>51002</v>
      </c>
      <c r="C72" s="230">
        <v>77474.009999999995</v>
      </c>
      <c r="D72" s="230">
        <v>0</v>
      </c>
      <c r="E72" s="230">
        <v>23194.09</v>
      </c>
      <c r="F72" s="230">
        <v>0</v>
      </c>
      <c r="G72" s="230">
        <v>0</v>
      </c>
      <c r="H72" s="230">
        <v>91720.52</v>
      </c>
      <c r="I72" s="230">
        <f t="shared" si="2"/>
        <v>192388.62</v>
      </c>
      <c r="J72" s="230">
        <v>0</v>
      </c>
      <c r="K72" s="230">
        <f t="shared" si="3"/>
        <v>192388.62</v>
      </c>
    </row>
    <row r="73" spans="1:11" s="211" customFormat="1" ht="12.75" x14ac:dyDescent="0.2">
      <c r="A73" s="228" t="s">
        <v>209</v>
      </c>
      <c r="B73" s="229">
        <v>56006</v>
      </c>
      <c r="C73" s="230">
        <v>88392.18</v>
      </c>
      <c r="D73" s="230">
        <v>0</v>
      </c>
      <c r="E73" s="230">
        <v>9746.0499999999993</v>
      </c>
      <c r="F73" s="230">
        <v>3314.36</v>
      </c>
      <c r="G73" s="230">
        <v>0</v>
      </c>
      <c r="H73" s="230">
        <v>23910.66</v>
      </c>
      <c r="I73" s="230">
        <f t="shared" si="2"/>
        <v>125363.25</v>
      </c>
      <c r="J73" s="230">
        <v>0</v>
      </c>
      <c r="K73" s="230">
        <f t="shared" si="3"/>
        <v>125363.25</v>
      </c>
    </row>
    <row r="74" spans="1:11" s="211" customFormat="1" ht="12.75" x14ac:dyDescent="0.2">
      <c r="A74" s="228" t="s">
        <v>210</v>
      </c>
      <c r="B74" s="229">
        <v>23002</v>
      </c>
      <c r="C74" s="230">
        <v>259667.8</v>
      </c>
      <c r="D74" s="230">
        <v>0</v>
      </c>
      <c r="E74" s="230">
        <v>79112</v>
      </c>
      <c r="F74" s="230">
        <v>8462.3700000000008</v>
      </c>
      <c r="G74" s="230">
        <v>0</v>
      </c>
      <c r="H74" s="230">
        <v>13961.62</v>
      </c>
      <c r="I74" s="230">
        <f t="shared" si="2"/>
        <v>361203.79</v>
      </c>
      <c r="J74" s="230">
        <v>0</v>
      </c>
      <c r="K74" s="230">
        <f t="shared" si="3"/>
        <v>361203.79</v>
      </c>
    </row>
    <row r="75" spans="1:11" s="211" customFormat="1" ht="12.75" x14ac:dyDescent="0.2">
      <c r="A75" s="228" t="s">
        <v>211</v>
      </c>
      <c r="B75" s="229">
        <v>53002</v>
      </c>
      <c r="C75" s="230">
        <v>62696.89</v>
      </c>
      <c r="D75" s="230">
        <v>0</v>
      </c>
      <c r="E75" s="230">
        <v>3279.38</v>
      </c>
      <c r="F75" s="230">
        <v>0</v>
      </c>
      <c r="G75" s="230">
        <v>0</v>
      </c>
      <c r="H75" s="230">
        <v>18376.75</v>
      </c>
      <c r="I75" s="230">
        <f t="shared" si="2"/>
        <v>84353.02</v>
      </c>
      <c r="J75" s="230">
        <v>0</v>
      </c>
      <c r="K75" s="230">
        <f t="shared" si="3"/>
        <v>84353.02</v>
      </c>
    </row>
    <row r="76" spans="1:11" s="211" customFormat="1" ht="12.75" x14ac:dyDescent="0.2">
      <c r="A76" s="228" t="s">
        <v>212</v>
      </c>
      <c r="B76" s="229">
        <v>48003</v>
      </c>
      <c r="C76" s="230">
        <v>435390.46</v>
      </c>
      <c r="D76" s="230">
        <v>420</v>
      </c>
      <c r="E76" s="230">
        <v>11189.28</v>
      </c>
      <c r="F76" s="230">
        <v>2286.25</v>
      </c>
      <c r="G76" s="230">
        <v>0</v>
      </c>
      <c r="H76" s="230">
        <v>15098.34</v>
      </c>
      <c r="I76" s="230">
        <f t="shared" si="2"/>
        <v>464384.33000000007</v>
      </c>
      <c r="J76" s="230">
        <v>0</v>
      </c>
      <c r="K76" s="230">
        <f t="shared" si="3"/>
        <v>464384.33000000007</v>
      </c>
    </row>
    <row r="77" spans="1:11" s="211" customFormat="1" ht="12.75" x14ac:dyDescent="0.2">
      <c r="A77" s="228" t="s">
        <v>213</v>
      </c>
      <c r="B77" s="229">
        <v>2002</v>
      </c>
      <c r="C77" s="230">
        <v>354923.37</v>
      </c>
      <c r="D77" s="230">
        <v>0</v>
      </c>
      <c r="E77" s="230">
        <v>199209.82</v>
      </c>
      <c r="F77" s="230">
        <v>12093.08</v>
      </c>
      <c r="G77" s="230">
        <v>0</v>
      </c>
      <c r="H77" s="230">
        <v>129089.35</v>
      </c>
      <c r="I77" s="230">
        <f t="shared" si="2"/>
        <v>695315.61999999988</v>
      </c>
      <c r="J77" s="230">
        <v>0</v>
      </c>
      <c r="K77" s="230">
        <f t="shared" si="3"/>
        <v>695315.61999999988</v>
      </c>
    </row>
    <row r="78" spans="1:11" s="211" customFormat="1" ht="12.75" x14ac:dyDescent="0.2">
      <c r="A78" s="228" t="s">
        <v>214</v>
      </c>
      <c r="B78" s="229">
        <v>22006</v>
      </c>
      <c r="C78" s="230">
        <v>376511.39</v>
      </c>
      <c r="D78" s="230">
        <v>0</v>
      </c>
      <c r="E78" s="230">
        <v>42862.2</v>
      </c>
      <c r="F78" s="230">
        <v>478.88</v>
      </c>
      <c r="G78" s="230">
        <v>0</v>
      </c>
      <c r="H78" s="230">
        <v>39433.89</v>
      </c>
      <c r="I78" s="230">
        <f t="shared" si="2"/>
        <v>459286.36000000004</v>
      </c>
      <c r="J78" s="230">
        <v>0</v>
      </c>
      <c r="K78" s="230">
        <f t="shared" si="3"/>
        <v>459286.36000000004</v>
      </c>
    </row>
    <row r="79" spans="1:11" s="211" customFormat="1" ht="12.75" x14ac:dyDescent="0.2">
      <c r="A79" s="228" t="s">
        <v>215</v>
      </c>
      <c r="B79" s="229">
        <v>13003</v>
      </c>
      <c r="C79" s="230">
        <v>79230.289999999994</v>
      </c>
      <c r="D79" s="230">
        <v>0</v>
      </c>
      <c r="E79" s="230">
        <v>28128.62</v>
      </c>
      <c r="F79" s="230">
        <v>0</v>
      </c>
      <c r="G79" s="230">
        <v>0</v>
      </c>
      <c r="H79" s="230">
        <v>41381.14</v>
      </c>
      <c r="I79" s="230">
        <f t="shared" si="2"/>
        <v>148740.04999999999</v>
      </c>
      <c r="J79" s="230">
        <v>0</v>
      </c>
      <c r="K79" s="230">
        <f t="shared" si="3"/>
        <v>148740.04999999999</v>
      </c>
    </row>
    <row r="80" spans="1:11" s="211" customFormat="1" ht="12.75" x14ac:dyDescent="0.2">
      <c r="A80" s="228" t="s">
        <v>216</v>
      </c>
      <c r="B80" s="229">
        <v>2003</v>
      </c>
      <c r="C80" s="230">
        <v>49009.7</v>
      </c>
      <c r="D80" s="230">
        <v>0</v>
      </c>
      <c r="E80" s="230">
        <v>10808.28</v>
      </c>
      <c r="F80" s="230">
        <v>0</v>
      </c>
      <c r="G80" s="230">
        <v>0</v>
      </c>
      <c r="H80" s="230">
        <v>20411.060000000001</v>
      </c>
      <c r="I80" s="230">
        <f t="shared" si="2"/>
        <v>80229.039999999994</v>
      </c>
      <c r="J80" s="230">
        <v>0</v>
      </c>
      <c r="K80" s="230">
        <f t="shared" si="3"/>
        <v>80229.039999999994</v>
      </c>
    </row>
    <row r="81" spans="1:11" s="211" customFormat="1" ht="12.75" x14ac:dyDescent="0.2">
      <c r="A81" s="228" t="s">
        <v>217</v>
      </c>
      <c r="B81" s="229">
        <v>37003</v>
      </c>
      <c r="C81" s="230">
        <v>90146.19</v>
      </c>
      <c r="D81" s="230">
        <v>0</v>
      </c>
      <c r="E81" s="230">
        <v>29742.2</v>
      </c>
      <c r="F81" s="230">
        <v>0</v>
      </c>
      <c r="G81" s="230">
        <v>0</v>
      </c>
      <c r="H81" s="230">
        <v>20285.849999999999</v>
      </c>
      <c r="I81" s="230">
        <f t="shared" si="2"/>
        <v>140174.24</v>
      </c>
      <c r="J81" s="230">
        <v>0</v>
      </c>
      <c r="K81" s="230">
        <f t="shared" si="3"/>
        <v>140174.24</v>
      </c>
    </row>
    <row r="82" spans="1:11" s="211" customFormat="1" ht="12.75" x14ac:dyDescent="0.2">
      <c r="A82" s="228" t="s">
        <v>218</v>
      </c>
      <c r="B82" s="229">
        <v>35002</v>
      </c>
      <c r="C82" s="230">
        <v>155614</v>
      </c>
      <c r="D82" s="230">
        <v>0</v>
      </c>
      <c r="E82" s="230">
        <v>79640.08</v>
      </c>
      <c r="F82" s="230">
        <v>0</v>
      </c>
      <c r="G82" s="230">
        <v>0</v>
      </c>
      <c r="H82" s="230">
        <v>21101.24</v>
      </c>
      <c r="I82" s="230">
        <f t="shared" si="2"/>
        <v>256355.32</v>
      </c>
      <c r="J82" s="230">
        <v>0</v>
      </c>
      <c r="K82" s="230">
        <f t="shared" si="3"/>
        <v>256355.32</v>
      </c>
    </row>
    <row r="83" spans="1:11" s="211" customFormat="1" ht="12.75" x14ac:dyDescent="0.2">
      <c r="A83" s="228" t="s">
        <v>219</v>
      </c>
      <c r="B83" s="229">
        <v>7002</v>
      </c>
      <c r="C83" s="230">
        <v>100380.74</v>
      </c>
      <c r="D83" s="230">
        <v>0</v>
      </c>
      <c r="E83" s="230">
        <v>25143.94</v>
      </c>
      <c r="F83" s="230">
        <v>0</v>
      </c>
      <c r="G83" s="230">
        <v>95640.72</v>
      </c>
      <c r="H83" s="230">
        <v>25008.98</v>
      </c>
      <c r="I83" s="230">
        <f t="shared" si="2"/>
        <v>246174.38000000003</v>
      </c>
      <c r="J83" s="230">
        <v>20211.48</v>
      </c>
      <c r="K83" s="230">
        <f t="shared" si="3"/>
        <v>225962.90000000002</v>
      </c>
    </row>
    <row r="84" spans="1:11" s="211" customFormat="1" ht="12.75" x14ac:dyDescent="0.2">
      <c r="A84" s="228" t="s">
        <v>220</v>
      </c>
      <c r="B84" s="229">
        <v>38003</v>
      </c>
      <c r="C84" s="230">
        <v>32850.54</v>
      </c>
      <c r="D84" s="230">
        <v>0</v>
      </c>
      <c r="E84" s="230">
        <v>8580.08</v>
      </c>
      <c r="F84" s="230">
        <v>1867.36</v>
      </c>
      <c r="G84" s="230">
        <v>0</v>
      </c>
      <c r="H84" s="230">
        <v>18015.810000000001</v>
      </c>
      <c r="I84" s="230">
        <f t="shared" si="2"/>
        <v>61313.790000000008</v>
      </c>
      <c r="J84" s="230">
        <v>0</v>
      </c>
      <c r="K84" s="230">
        <f t="shared" si="3"/>
        <v>61313.790000000008</v>
      </c>
    </row>
    <row r="85" spans="1:11" s="211" customFormat="1" ht="12.75" x14ac:dyDescent="0.2">
      <c r="A85" s="228" t="s">
        <v>221</v>
      </c>
      <c r="B85" s="229">
        <v>45005</v>
      </c>
      <c r="C85" s="230">
        <v>69214.81</v>
      </c>
      <c r="D85" s="230">
        <v>0</v>
      </c>
      <c r="E85" s="230">
        <v>12483.78</v>
      </c>
      <c r="F85" s="230">
        <v>0</v>
      </c>
      <c r="G85" s="230">
        <v>0</v>
      </c>
      <c r="H85" s="230">
        <v>20034.82</v>
      </c>
      <c r="I85" s="230">
        <f t="shared" si="2"/>
        <v>101733.41</v>
      </c>
      <c r="J85" s="230">
        <v>0</v>
      </c>
      <c r="K85" s="230">
        <f t="shared" si="3"/>
        <v>101733.41</v>
      </c>
    </row>
    <row r="86" spans="1:11" s="211" customFormat="1" ht="12.75" x14ac:dyDescent="0.2">
      <c r="A86" s="228" t="s">
        <v>222</v>
      </c>
      <c r="B86" s="229">
        <v>40001</v>
      </c>
      <c r="C86" s="230">
        <v>67583.320000000007</v>
      </c>
      <c r="D86" s="230">
        <v>0</v>
      </c>
      <c r="E86" s="230">
        <v>107382.42</v>
      </c>
      <c r="F86" s="230">
        <v>0</v>
      </c>
      <c r="G86" s="230">
        <v>0</v>
      </c>
      <c r="H86" s="230">
        <v>64083.65</v>
      </c>
      <c r="I86" s="230">
        <f t="shared" si="2"/>
        <v>239049.38999999998</v>
      </c>
      <c r="J86" s="230">
        <v>0</v>
      </c>
      <c r="K86" s="230">
        <f t="shared" si="3"/>
        <v>239049.38999999998</v>
      </c>
    </row>
    <row r="87" spans="1:11" s="211" customFormat="1" ht="12.75" x14ac:dyDescent="0.2">
      <c r="A87" s="228" t="s">
        <v>223</v>
      </c>
      <c r="B87" s="229">
        <v>52004</v>
      </c>
      <c r="C87" s="230">
        <v>141829.35</v>
      </c>
      <c r="D87" s="230">
        <v>0</v>
      </c>
      <c r="E87" s="230">
        <v>9188.93</v>
      </c>
      <c r="F87" s="230">
        <v>3622.82</v>
      </c>
      <c r="G87" s="230">
        <v>0</v>
      </c>
      <c r="H87" s="230">
        <v>24234.26</v>
      </c>
      <c r="I87" s="230">
        <f t="shared" si="2"/>
        <v>178875.36000000002</v>
      </c>
      <c r="J87" s="230">
        <v>0</v>
      </c>
      <c r="K87" s="230">
        <f t="shared" si="3"/>
        <v>178875.36000000002</v>
      </c>
    </row>
    <row r="88" spans="1:11" s="211" customFormat="1" ht="12.75" x14ac:dyDescent="0.2">
      <c r="A88" s="228" t="s">
        <v>224</v>
      </c>
      <c r="B88" s="229">
        <v>41004</v>
      </c>
      <c r="C88" s="230">
        <v>319085.31</v>
      </c>
      <c r="D88" s="230">
        <v>0</v>
      </c>
      <c r="E88" s="230">
        <v>38339.699999999997</v>
      </c>
      <c r="F88" s="230">
        <v>0</v>
      </c>
      <c r="G88" s="230">
        <v>0</v>
      </c>
      <c r="H88" s="230">
        <v>103777.75</v>
      </c>
      <c r="I88" s="230">
        <f t="shared" si="2"/>
        <v>461202.76</v>
      </c>
      <c r="J88" s="230">
        <v>0</v>
      </c>
      <c r="K88" s="230">
        <f t="shared" si="3"/>
        <v>461202.76</v>
      </c>
    </row>
    <row r="89" spans="1:11" s="211" customFormat="1" ht="12.75" x14ac:dyDescent="0.2">
      <c r="A89" s="228" t="s">
        <v>225</v>
      </c>
      <c r="B89" s="229">
        <v>44002</v>
      </c>
      <c r="C89" s="230">
        <v>63214.85</v>
      </c>
      <c r="D89" s="230">
        <v>0</v>
      </c>
      <c r="E89" s="230">
        <v>7246.9</v>
      </c>
      <c r="F89" s="230">
        <v>0</v>
      </c>
      <c r="G89" s="230">
        <v>141475.43</v>
      </c>
      <c r="H89" s="230">
        <v>14751.78</v>
      </c>
      <c r="I89" s="230">
        <f t="shared" si="2"/>
        <v>226688.96</v>
      </c>
      <c r="J89" s="230">
        <v>0</v>
      </c>
      <c r="K89" s="230">
        <f t="shared" si="3"/>
        <v>226688.96</v>
      </c>
    </row>
    <row r="90" spans="1:11" s="211" customFormat="1" ht="12.75" x14ac:dyDescent="0.2">
      <c r="A90" s="228" t="s">
        <v>226</v>
      </c>
      <c r="B90" s="229">
        <v>42001</v>
      </c>
      <c r="C90" s="230">
        <v>242333.07</v>
      </c>
      <c r="D90" s="230">
        <v>0</v>
      </c>
      <c r="E90" s="230">
        <v>60352.42</v>
      </c>
      <c r="F90" s="230">
        <v>0</v>
      </c>
      <c r="G90" s="230">
        <v>0</v>
      </c>
      <c r="H90" s="230">
        <v>8792.75</v>
      </c>
      <c r="I90" s="230">
        <f t="shared" si="2"/>
        <v>311478.24</v>
      </c>
      <c r="J90" s="230">
        <v>0</v>
      </c>
      <c r="K90" s="230">
        <f t="shared" si="3"/>
        <v>311478.24</v>
      </c>
    </row>
    <row r="91" spans="1:11" s="211" customFormat="1" ht="12.75" x14ac:dyDescent="0.2">
      <c r="A91" s="228" t="s">
        <v>227</v>
      </c>
      <c r="B91" s="229">
        <v>39002</v>
      </c>
      <c r="C91" s="230">
        <v>154999.32999999999</v>
      </c>
      <c r="D91" s="230">
        <v>0</v>
      </c>
      <c r="E91" s="230">
        <v>64157.57</v>
      </c>
      <c r="F91" s="230">
        <v>11841.81</v>
      </c>
      <c r="G91" s="230">
        <v>0</v>
      </c>
      <c r="H91" s="230">
        <v>68994.63</v>
      </c>
      <c r="I91" s="230">
        <f t="shared" si="2"/>
        <v>299993.33999999997</v>
      </c>
      <c r="J91" s="230">
        <v>0</v>
      </c>
      <c r="K91" s="230">
        <f t="shared" si="3"/>
        <v>299993.33999999997</v>
      </c>
    </row>
    <row r="92" spans="1:11" s="211" customFormat="1" ht="12.75" x14ac:dyDescent="0.2">
      <c r="A92" s="228" t="s">
        <v>228</v>
      </c>
      <c r="B92" s="229">
        <v>60003</v>
      </c>
      <c r="C92" s="230">
        <v>295656.53999999998</v>
      </c>
      <c r="D92" s="230">
        <v>0</v>
      </c>
      <c r="E92" s="230">
        <v>8042.68</v>
      </c>
      <c r="F92" s="230">
        <v>2253.4</v>
      </c>
      <c r="G92" s="230">
        <v>0</v>
      </c>
      <c r="H92" s="230">
        <v>13760.81</v>
      </c>
      <c r="I92" s="230">
        <f t="shared" si="2"/>
        <v>319713.43</v>
      </c>
      <c r="J92" s="230">
        <v>0</v>
      </c>
      <c r="K92" s="230">
        <f t="shared" si="3"/>
        <v>319713.43</v>
      </c>
    </row>
    <row r="93" spans="1:11" s="211" customFormat="1" ht="12.75" x14ac:dyDescent="0.2">
      <c r="A93" s="228" t="s">
        <v>229</v>
      </c>
      <c r="B93" s="229">
        <v>43007</v>
      </c>
      <c r="C93" s="230">
        <v>175181.62</v>
      </c>
      <c r="D93" s="230">
        <v>0</v>
      </c>
      <c r="E93" s="230">
        <v>43229.24</v>
      </c>
      <c r="F93" s="230">
        <v>0</v>
      </c>
      <c r="G93" s="230">
        <v>0</v>
      </c>
      <c r="H93" s="230">
        <v>20603.18</v>
      </c>
      <c r="I93" s="230">
        <f t="shared" si="2"/>
        <v>239014.03999999998</v>
      </c>
      <c r="J93" s="230">
        <v>0</v>
      </c>
      <c r="K93" s="230">
        <f t="shared" si="3"/>
        <v>239014.03999999998</v>
      </c>
    </row>
    <row r="94" spans="1:11" s="211" customFormat="1" ht="12.75" x14ac:dyDescent="0.2">
      <c r="A94" s="228" t="s">
        <v>230</v>
      </c>
      <c r="B94" s="229">
        <v>15001</v>
      </c>
      <c r="C94" s="230">
        <v>18597.580000000002</v>
      </c>
      <c r="D94" s="230">
        <v>0</v>
      </c>
      <c r="E94" s="230">
        <v>4670.47</v>
      </c>
      <c r="F94" s="230">
        <v>0</v>
      </c>
      <c r="G94" s="230">
        <v>0</v>
      </c>
      <c r="H94" s="230">
        <v>10864.88</v>
      </c>
      <c r="I94" s="230">
        <f t="shared" si="2"/>
        <v>34132.93</v>
      </c>
      <c r="J94" s="230">
        <v>0</v>
      </c>
      <c r="K94" s="230">
        <f t="shared" si="3"/>
        <v>34132.93</v>
      </c>
    </row>
    <row r="95" spans="1:11" s="211" customFormat="1" ht="12.75" x14ac:dyDescent="0.2">
      <c r="A95" s="228" t="s">
        <v>231</v>
      </c>
      <c r="B95" s="229">
        <v>15002</v>
      </c>
      <c r="C95" s="230">
        <v>60369.56</v>
      </c>
      <c r="D95" s="230">
        <v>0</v>
      </c>
      <c r="E95" s="230">
        <v>24783.66</v>
      </c>
      <c r="F95" s="230">
        <v>0</v>
      </c>
      <c r="G95" s="230">
        <v>0</v>
      </c>
      <c r="H95" s="230">
        <v>13174.45</v>
      </c>
      <c r="I95" s="230">
        <f t="shared" si="2"/>
        <v>98327.67</v>
      </c>
      <c r="J95" s="230">
        <v>0</v>
      </c>
      <c r="K95" s="230">
        <f t="shared" si="3"/>
        <v>98327.67</v>
      </c>
    </row>
    <row r="96" spans="1:11" s="211" customFormat="1" ht="12.75" x14ac:dyDescent="0.2">
      <c r="A96" s="228" t="s">
        <v>232</v>
      </c>
      <c r="B96" s="229">
        <v>46001</v>
      </c>
      <c r="C96" s="230">
        <v>210337.16</v>
      </c>
      <c r="D96" s="230">
        <v>12118.21</v>
      </c>
      <c r="E96" s="230">
        <v>409200.6</v>
      </c>
      <c r="F96" s="230">
        <v>0</v>
      </c>
      <c r="G96" s="230">
        <v>0</v>
      </c>
      <c r="H96" s="230">
        <v>87990.7</v>
      </c>
      <c r="I96" s="230">
        <f t="shared" si="2"/>
        <v>719646.66999999993</v>
      </c>
      <c r="J96" s="230">
        <v>0</v>
      </c>
      <c r="K96" s="230">
        <f t="shared" si="3"/>
        <v>719646.66999999993</v>
      </c>
    </row>
    <row r="97" spans="1:11" s="211" customFormat="1" ht="12.75" x14ac:dyDescent="0.2">
      <c r="A97" s="228" t="s">
        <v>233</v>
      </c>
      <c r="B97" s="229">
        <v>33002</v>
      </c>
      <c r="C97" s="230">
        <v>408586.92</v>
      </c>
      <c r="D97" s="230">
        <v>0</v>
      </c>
      <c r="E97" s="230">
        <v>11972.97</v>
      </c>
      <c r="F97" s="230">
        <v>0</v>
      </c>
      <c r="G97" s="230">
        <v>0</v>
      </c>
      <c r="H97" s="230">
        <v>28654.83</v>
      </c>
      <c r="I97" s="230">
        <f t="shared" si="2"/>
        <v>449214.71999999997</v>
      </c>
      <c r="J97" s="230">
        <v>0</v>
      </c>
      <c r="K97" s="230">
        <f t="shared" si="3"/>
        <v>449214.71999999997</v>
      </c>
    </row>
    <row r="98" spans="1:11" s="211" customFormat="1" ht="12.75" x14ac:dyDescent="0.2">
      <c r="A98" s="228" t="s">
        <v>234</v>
      </c>
      <c r="B98" s="229">
        <v>25004</v>
      </c>
      <c r="C98" s="230">
        <v>242499.38999999998</v>
      </c>
      <c r="D98" s="230">
        <v>0</v>
      </c>
      <c r="E98" s="230">
        <v>70705.14</v>
      </c>
      <c r="F98" s="230">
        <v>0</v>
      </c>
      <c r="G98" s="230">
        <v>42287.59</v>
      </c>
      <c r="H98" s="230">
        <v>60961.75</v>
      </c>
      <c r="I98" s="230">
        <f t="shared" si="2"/>
        <v>416453.87</v>
      </c>
      <c r="J98" s="230">
        <v>33830.072</v>
      </c>
      <c r="K98" s="230">
        <f t="shared" si="3"/>
        <v>382623.79800000001</v>
      </c>
    </row>
    <row r="99" spans="1:11" s="211" customFormat="1" ht="12.75" x14ac:dyDescent="0.2">
      <c r="A99" s="228" t="s">
        <v>235</v>
      </c>
      <c r="B99" s="229">
        <v>29004</v>
      </c>
      <c r="C99" s="230">
        <v>132406.79999999999</v>
      </c>
      <c r="D99" s="230">
        <v>4740.8100000000004</v>
      </c>
      <c r="E99" s="230">
        <v>50753.43</v>
      </c>
      <c r="F99" s="230">
        <v>0</v>
      </c>
      <c r="G99" s="230">
        <v>347037.76</v>
      </c>
      <c r="H99" s="230">
        <v>64669.56</v>
      </c>
      <c r="I99" s="230">
        <f t="shared" si="2"/>
        <v>599608.3600000001</v>
      </c>
      <c r="J99" s="230">
        <v>304499.48</v>
      </c>
      <c r="K99" s="230">
        <f t="shared" si="3"/>
        <v>295108.88000000012</v>
      </c>
    </row>
    <row r="100" spans="1:11" s="211" customFormat="1" ht="12.75" x14ac:dyDescent="0.2">
      <c r="A100" s="228" t="s">
        <v>236</v>
      </c>
      <c r="B100" s="229">
        <v>17002</v>
      </c>
      <c r="C100" s="230">
        <v>327238.34000000003</v>
      </c>
      <c r="D100" s="230">
        <v>0</v>
      </c>
      <c r="E100" s="230">
        <v>294953.84999999998</v>
      </c>
      <c r="F100" s="230">
        <v>1482.94</v>
      </c>
      <c r="G100" s="230">
        <v>0</v>
      </c>
      <c r="H100" s="230">
        <v>112128.68</v>
      </c>
      <c r="I100" s="230">
        <f t="shared" si="2"/>
        <v>735803.80999999982</v>
      </c>
      <c r="J100" s="230">
        <v>0</v>
      </c>
      <c r="K100" s="230">
        <f t="shared" si="3"/>
        <v>735803.80999999982</v>
      </c>
    </row>
    <row r="101" spans="1:11" s="211" customFormat="1" ht="12.75" x14ac:dyDescent="0.2">
      <c r="A101" s="228" t="s">
        <v>237</v>
      </c>
      <c r="B101" s="229">
        <v>62006</v>
      </c>
      <c r="C101" s="230">
        <v>117538.88</v>
      </c>
      <c r="D101" s="230">
        <v>0</v>
      </c>
      <c r="E101" s="230">
        <v>60811.96</v>
      </c>
      <c r="F101" s="230">
        <v>0</v>
      </c>
      <c r="G101" s="230">
        <v>156284.70000000001</v>
      </c>
      <c r="H101" s="230">
        <v>38212.44</v>
      </c>
      <c r="I101" s="230">
        <f t="shared" ref="I101:I152" si="4">SUM(C101:H101)</f>
        <v>372847.98000000004</v>
      </c>
      <c r="J101" s="230">
        <v>0</v>
      </c>
      <c r="K101" s="230">
        <f t="shared" si="3"/>
        <v>372847.98000000004</v>
      </c>
    </row>
    <row r="102" spans="1:11" s="211" customFormat="1" ht="12.75" x14ac:dyDescent="0.2">
      <c r="A102" s="228" t="s">
        <v>238</v>
      </c>
      <c r="B102" s="229">
        <v>43002</v>
      </c>
      <c r="C102" s="230">
        <v>66513.63</v>
      </c>
      <c r="D102" s="230">
        <v>0</v>
      </c>
      <c r="E102" s="230">
        <v>26868.62</v>
      </c>
      <c r="F102" s="230">
        <v>0</v>
      </c>
      <c r="G102" s="230">
        <v>0</v>
      </c>
      <c r="H102" s="230">
        <v>19815.91</v>
      </c>
      <c r="I102" s="230">
        <f t="shared" si="4"/>
        <v>113198.16</v>
      </c>
      <c r="J102" s="230">
        <v>0</v>
      </c>
      <c r="K102" s="230">
        <f t="shared" si="3"/>
        <v>113198.16</v>
      </c>
    </row>
    <row r="103" spans="1:11" s="211" customFormat="1" ht="12.75" x14ac:dyDescent="0.2">
      <c r="A103" s="228" t="s">
        <v>239</v>
      </c>
      <c r="B103" s="229">
        <v>17003</v>
      </c>
      <c r="C103" s="230">
        <v>39012.94</v>
      </c>
      <c r="D103" s="230">
        <v>0</v>
      </c>
      <c r="E103" s="230">
        <v>17185.63</v>
      </c>
      <c r="F103" s="230">
        <v>0</v>
      </c>
      <c r="G103" s="230">
        <v>0</v>
      </c>
      <c r="H103" s="230">
        <v>11179.47</v>
      </c>
      <c r="I103" s="230">
        <f t="shared" si="4"/>
        <v>67378.040000000008</v>
      </c>
      <c r="J103" s="230">
        <v>0</v>
      </c>
      <c r="K103" s="230">
        <f t="shared" si="3"/>
        <v>67378.040000000008</v>
      </c>
    </row>
    <row r="104" spans="1:11" s="211" customFormat="1" ht="12.75" x14ac:dyDescent="0.2">
      <c r="A104" s="228" t="s">
        <v>240</v>
      </c>
      <c r="B104" s="229">
        <v>51003</v>
      </c>
      <c r="C104" s="230">
        <v>54295.07</v>
      </c>
      <c r="D104" s="230">
        <v>0</v>
      </c>
      <c r="E104" s="230">
        <v>9072.1200000000008</v>
      </c>
      <c r="F104" s="230">
        <v>1324.01</v>
      </c>
      <c r="G104" s="230">
        <v>169814.76</v>
      </c>
      <c r="H104" s="230">
        <v>13470.72</v>
      </c>
      <c r="I104" s="230">
        <f t="shared" si="4"/>
        <v>247976.68000000002</v>
      </c>
      <c r="J104" s="230">
        <v>0</v>
      </c>
      <c r="K104" s="230">
        <f t="shared" si="3"/>
        <v>247976.68000000002</v>
      </c>
    </row>
    <row r="105" spans="1:11" s="211" customFormat="1" ht="12.75" x14ac:dyDescent="0.2">
      <c r="A105" s="228" t="s">
        <v>241</v>
      </c>
      <c r="B105" s="229">
        <v>9002</v>
      </c>
      <c r="C105" s="230">
        <v>103118.85</v>
      </c>
      <c r="D105" s="230">
        <v>0</v>
      </c>
      <c r="E105" s="230">
        <v>47572.54</v>
      </c>
      <c r="F105" s="230">
        <v>0</v>
      </c>
      <c r="G105" s="230">
        <v>171641.39</v>
      </c>
      <c r="H105" s="230">
        <v>24494.91</v>
      </c>
      <c r="I105" s="230">
        <f t="shared" si="4"/>
        <v>346827.69</v>
      </c>
      <c r="J105" s="230">
        <v>171641.39</v>
      </c>
      <c r="K105" s="230">
        <f t="shared" si="3"/>
        <v>175186.3</v>
      </c>
    </row>
    <row r="106" spans="1:11" s="211" customFormat="1" ht="12.75" x14ac:dyDescent="0.2">
      <c r="A106" s="228" t="s">
        <v>242</v>
      </c>
      <c r="B106" s="229">
        <v>56007</v>
      </c>
      <c r="C106" s="230">
        <v>94252.54</v>
      </c>
      <c r="D106" s="230">
        <v>0</v>
      </c>
      <c r="E106" s="230">
        <v>9555.34</v>
      </c>
      <c r="F106" s="230">
        <v>2008.19</v>
      </c>
      <c r="G106" s="230">
        <v>0</v>
      </c>
      <c r="H106" s="230">
        <v>14982.29</v>
      </c>
      <c r="I106" s="230">
        <f t="shared" si="4"/>
        <v>120798.35999999999</v>
      </c>
      <c r="J106" s="230">
        <v>0</v>
      </c>
      <c r="K106" s="230">
        <f t="shared" si="3"/>
        <v>120798.35999999999</v>
      </c>
    </row>
    <row r="107" spans="1:11" s="211" customFormat="1" ht="12.75" x14ac:dyDescent="0.2">
      <c r="A107" s="228" t="s">
        <v>243</v>
      </c>
      <c r="B107" s="229">
        <v>23003</v>
      </c>
      <c r="C107" s="230">
        <v>19802.349999999999</v>
      </c>
      <c r="D107" s="230">
        <v>0</v>
      </c>
      <c r="E107" s="230">
        <v>4218.01</v>
      </c>
      <c r="F107" s="230">
        <v>0</v>
      </c>
      <c r="G107" s="230">
        <v>135690.22</v>
      </c>
      <c r="H107" s="230">
        <v>1211.94</v>
      </c>
      <c r="I107" s="230">
        <f t="shared" si="4"/>
        <v>160922.52000000002</v>
      </c>
      <c r="J107" s="230">
        <v>0</v>
      </c>
      <c r="K107" s="230">
        <f t="shared" si="3"/>
        <v>160922.52000000002</v>
      </c>
    </row>
    <row r="108" spans="1:11" s="211" customFormat="1" ht="12.75" x14ac:dyDescent="0.2">
      <c r="A108" s="228" t="s">
        <v>293</v>
      </c>
      <c r="B108" s="229">
        <v>65001</v>
      </c>
      <c r="C108" s="230">
        <v>389394.66</v>
      </c>
      <c r="D108" s="230">
        <v>0</v>
      </c>
      <c r="E108" s="230">
        <v>549.5</v>
      </c>
      <c r="F108" s="230">
        <v>0</v>
      </c>
      <c r="G108" s="230">
        <v>0</v>
      </c>
      <c r="H108" s="230">
        <v>0</v>
      </c>
      <c r="I108" s="230">
        <f t="shared" si="4"/>
        <v>389944.16</v>
      </c>
      <c r="J108" s="230">
        <v>0</v>
      </c>
      <c r="K108" s="230">
        <f t="shared" si="3"/>
        <v>389944.16</v>
      </c>
    </row>
    <row r="109" spans="1:11" s="211" customFormat="1" ht="12.75" x14ac:dyDescent="0.2">
      <c r="A109" s="228" t="s">
        <v>410</v>
      </c>
      <c r="B109" s="229">
        <v>39006</v>
      </c>
      <c r="C109" s="230">
        <v>69190.81</v>
      </c>
      <c r="D109" s="230">
        <v>0</v>
      </c>
      <c r="E109" s="230">
        <v>8405.9</v>
      </c>
      <c r="F109" s="230">
        <v>462.36</v>
      </c>
      <c r="G109" s="230">
        <v>0</v>
      </c>
      <c r="H109" s="230">
        <v>50403.98</v>
      </c>
      <c r="I109" s="230">
        <f t="shared" si="4"/>
        <v>128463.04999999999</v>
      </c>
      <c r="J109" s="230">
        <v>0</v>
      </c>
      <c r="K109" s="230">
        <f t="shared" si="3"/>
        <v>128463.04999999999</v>
      </c>
    </row>
    <row r="110" spans="1:11" s="211" customFormat="1" ht="12.75" x14ac:dyDescent="0.2">
      <c r="A110" s="228" t="s">
        <v>246</v>
      </c>
      <c r="B110" s="229">
        <v>60004</v>
      </c>
      <c r="C110" s="230">
        <v>94840.77</v>
      </c>
      <c r="D110" s="230">
        <v>0</v>
      </c>
      <c r="E110" s="230">
        <v>15125.09</v>
      </c>
      <c r="F110" s="230">
        <v>988.04</v>
      </c>
      <c r="G110" s="230">
        <v>0</v>
      </c>
      <c r="H110" s="230">
        <v>37942.26</v>
      </c>
      <c r="I110" s="230">
        <f t="shared" si="4"/>
        <v>148896.16</v>
      </c>
      <c r="J110" s="230">
        <v>0</v>
      </c>
      <c r="K110" s="230">
        <f t="shared" si="3"/>
        <v>148896.16</v>
      </c>
    </row>
    <row r="111" spans="1:11" s="211" customFormat="1" ht="12.75" x14ac:dyDescent="0.2">
      <c r="A111" s="228" t="s">
        <v>247</v>
      </c>
      <c r="B111" s="229">
        <v>33003</v>
      </c>
      <c r="C111" s="230">
        <v>90073.35</v>
      </c>
      <c r="D111" s="230">
        <v>0</v>
      </c>
      <c r="E111" s="230">
        <v>20327.560000000001</v>
      </c>
      <c r="F111" s="230">
        <v>322.22000000000003</v>
      </c>
      <c r="G111" s="230">
        <v>0</v>
      </c>
      <c r="H111" s="230">
        <v>33428.559999999998</v>
      </c>
      <c r="I111" s="230">
        <f t="shared" si="4"/>
        <v>144151.69</v>
      </c>
      <c r="J111" s="230">
        <v>0</v>
      </c>
      <c r="K111" s="230">
        <f t="shared" si="3"/>
        <v>144151.69</v>
      </c>
    </row>
    <row r="112" spans="1:11" s="211" customFormat="1" ht="12.75" x14ac:dyDescent="0.2">
      <c r="A112" s="228" t="s">
        <v>248</v>
      </c>
      <c r="B112" s="229">
        <v>32002</v>
      </c>
      <c r="C112" s="230">
        <v>270429.63</v>
      </c>
      <c r="D112" s="230">
        <v>0</v>
      </c>
      <c r="E112" s="230">
        <v>142239.94</v>
      </c>
      <c r="F112" s="230">
        <v>0</v>
      </c>
      <c r="G112" s="230">
        <v>0</v>
      </c>
      <c r="H112" s="230">
        <v>559898.29</v>
      </c>
      <c r="I112" s="230">
        <f t="shared" si="4"/>
        <v>972567.8600000001</v>
      </c>
      <c r="J112" s="230">
        <v>0</v>
      </c>
      <c r="K112" s="230">
        <f t="shared" si="3"/>
        <v>972567.8600000001</v>
      </c>
    </row>
    <row r="113" spans="1:11" s="211" customFormat="1" ht="12.75" x14ac:dyDescent="0.2">
      <c r="A113" s="228" t="s">
        <v>249</v>
      </c>
      <c r="B113" s="229">
        <v>1001</v>
      </c>
      <c r="C113" s="230">
        <v>83030.44</v>
      </c>
      <c r="D113" s="230">
        <v>0</v>
      </c>
      <c r="E113" s="230">
        <v>28546.67</v>
      </c>
      <c r="F113" s="230">
        <v>0</v>
      </c>
      <c r="G113" s="230">
        <v>0</v>
      </c>
      <c r="H113" s="230">
        <v>32336.14</v>
      </c>
      <c r="I113" s="230">
        <f t="shared" si="4"/>
        <v>143913.25</v>
      </c>
      <c r="J113" s="230">
        <v>0</v>
      </c>
      <c r="K113" s="230">
        <f t="shared" si="3"/>
        <v>143913.25</v>
      </c>
    </row>
    <row r="114" spans="1:11" s="211" customFormat="1" ht="12.75" x14ac:dyDescent="0.2">
      <c r="A114" s="228" t="s">
        <v>250</v>
      </c>
      <c r="B114" s="229">
        <v>11005</v>
      </c>
      <c r="C114" s="230">
        <v>197750.21</v>
      </c>
      <c r="D114" s="230">
        <v>0</v>
      </c>
      <c r="E114" s="230">
        <v>26185.68</v>
      </c>
      <c r="F114" s="230">
        <v>0</v>
      </c>
      <c r="G114" s="230">
        <v>0</v>
      </c>
      <c r="H114" s="230">
        <v>67175.19</v>
      </c>
      <c r="I114" s="230">
        <f t="shared" si="4"/>
        <v>291111.07999999996</v>
      </c>
      <c r="J114" s="230">
        <v>0</v>
      </c>
      <c r="K114" s="230">
        <f t="shared" si="3"/>
        <v>291111.07999999996</v>
      </c>
    </row>
    <row r="115" spans="1:11" s="211" customFormat="1" ht="12.75" x14ac:dyDescent="0.2">
      <c r="A115" s="228" t="s">
        <v>251</v>
      </c>
      <c r="B115" s="229">
        <v>51004</v>
      </c>
      <c r="C115" s="230">
        <v>958428</v>
      </c>
      <c r="D115" s="230">
        <v>0</v>
      </c>
      <c r="E115" s="230">
        <v>752602</v>
      </c>
      <c r="F115" s="230">
        <v>0</v>
      </c>
      <c r="G115" s="230">
        <v>0</v>
      </c>
      <c r="H115" s="230">
        <v>1140222</v>
      </c>
      <c r="I115" s="230">
        <f t="shared" si="4"/>
        <v>2851252</v>
      </c>
      <c r="J115" s="230">
        <v>0</v>
      </c>
      <c r="K115" s="230">
        <f t="shared" si="3"/>
        <v>2851252</v>
      </c>
    </row>
    <row r="116" spans="1:11" s="211" customFormat="1" ht="12.75" x14ac:dyDescent="0.2">
      <c r="A116" s="228" t="s">
        <v>252</v>
      </c>
      <c r="B116" s="229">
        <v>56004</v>
      </c>
      <c r="C116" s="230">
        <v>62903.76</v>
      </c>
      <c r="D116" s="230">
        <v>0</v>
      </c>
      <c r="E116" s="230">
        <v>18966.98</v>
      </c>
      <c r="F116" s="230">
        <v>201.67</v>
      </c>
      <c r="G116" s="230">
        <v>0</v>
      </c>
      <c r="H116" s="230">
        <v>36315.449999999997</v>
      </c>
      <c r="I116" s="230">
        <f t="shared" si="4"/>
        <v>118387.86</v>
      </c>
      <c r="J116" s="230">
        <v>0</v>
      </c>
      <c r="K116" s="230">
        <f t="shared" si="3"/>
        <v>118387.86</v>
      </c>
    </row>
    <row r="117" spans="1:11" s="211" customFormat="1" ht="12.75" x14ac:dyDescent="0.2">
      <c r="A117" s="228" t="s">
        <v>253</v>
      </c>
      <c r="B117" s="229">
        <v>54004</v>
      </c>
      <c r="C117" s="230">
        <v>46600.65</v>
      </c>
      <c r="D117" s="230">
        <v>0</v>
      </c>
      <c r="E117" s="230">
        <v>27500.48</v>
      </c>
      <c r="F117" s="230">
        <v>0</v>
      </c>
      <c r="G117" s="230">
        <v>0</v>
      </c>
      <c r="H117" s="230">
        <v>18732.23</v>
      </c>
      <c r="I117" s="230">
        <f t="shared" si="4"/>
        <v>92833.36</v>
      </c>
      <c r="J117" s="230">
        <v>0</v>
      </c>
      <c r="K117" s="230">
        <f t="shared" si="3"/>
        <v>92833.36</v>
      </c>
    </row>
    <row r="118" spans="1:11" s="211" customFormat="1" ht="12.75" x14ac:dyDescent="0.2">
      <c r="A118" s="228" t="s">
        <v>255</v>
      </c>
      <c r="B118" s="229">
        <v>55005</v>
      </c>
      <c r="C118" s="230">
        <v>44747.37</v>
      </c>
      <c r="D118" s="230">
        <v>0</v>
      </c>
      <c r="E118" s="230">
        <v>12098.31</v>
      </c>
      <c r="F118" s="230">
        <v>256.38</v>
      </c>
      <c r="G118" s="230">
        <v>0</v>
      </c>
      <c r="H118" s="230">
        <v>2121.13</v>
      </c>
      <c r="I118" s="230">
        <f t="shared" si="4"/>
        <v>59223.189999999995</v>
      </c>
      <c r="J118" s="230">
        <v>0</v>
      </c>
      <c r="K118" s="230">
        <f t="shared" si="3"/>
        <v>59223.189999999995</v>
      </c>
    </row>
    <row r="119" spans="1:11" s="211" customFormat="1" ht="12.75" x14ac:dyDescent="0.2">
      <c r="A119" s="228" t="s">
        <v>256</v>
      </c>
      <c r="B119" s="229">
        <v>4003</v>
      </c>
      <c r="C119" s="230">
        <v>73363.5</v>
      </c>
      <c r="D119" s="230">
        <v>0</v>
      </c>
      <c r="E119" s="230">
        <v>15029.44</v>
      </c>
      <c r="F119" s="230">
        <v>0</v>
      </c>
      <c r="G119" s="230">
        <v>0</v>
      </c>
      <c r="H119" s="230">
        <v>28342.13</v>
      </c>
      <c r="I119" s="230">
        <f t="shared" si="4"/>
        <v>116735.07</v>
      </c>
      <c r="J119" s="230">
        <v>0</v>
      </c>
      <c r="K119" s="230">
        <f t="shared" si="3"/>
        <v>116735.07</v>
      </c>
    </row>
    <row r="120" spans="1:11" s="211" customFormat="1" ht="12.75" x14ac:dyDescent="0.2">
      <c r="A120" s="228" t="s">
        <v>257</v>
      </c>
      <c r="B120" s="229">
        <v>62005</v>
      </c>
      <c r="C120" s="230">
        <v>79650.44</v>
      </c>
      <c r="D120" s="230">
        <v>0</v>
      </c>
      <c r="E120" s="230">
        <v>21829.53</v>
      </c>
      <c r="F120" s="230">
        <v>0</v>
      </c>
      <c r="G120" s="230">
        <v>0</v>
      </c>
      <c r="H120" s="230">
        <v>28720.51</v>
      </c>
      <c r="I120" s="230">
        <f t="shared" si="4"/>
        <v>130200.48</v>
      </c>
      <c r="J120" s="230">
        <v>0</v>
      </c>
      <c r="K120" s="230">
        <f t="shared" si="3"/>
        <v>130200.48</v>
      </c>
    </row>
    <row r="121" spans="1:11" s="211" customFormat="1" ht="12.75" x14ac:dyDescent="0.2">
      <c r="A121" s="228" t="s">
        <v>258</v>
      </c>
      <c r="B121" s="229">
        <v>49005</v>
      </c>
      <c r="C121" s="230">
        <v>1084396.0900000001</v>
      </c>
      <c r="D121" s="230">
        <v>0</v>
      </c>
      <c r="E121" s="230">
        <v>973832.31</v>
      </c>
      <c r="F121" s="230">
        <v>0</v>
      </c>
      <c r="G121" s="230">
        <v>0</v>
      </c>
      <c r="H121" s="230">
        <v>6772568.0300000003</v>
      </c>
      <c r="I121" s="230">
        <f t="shared" si="4"/>
        <v>8830796.4299999997</v>
      </c>
      <c r="J121" s="230">
        <v>0</v>
      </c>
      <c r="K121" s="230">
        <f t="shared" si="3"/>
        <v>8830796.4299999997</v>
      </c>
    </row>
    <row r="122" spans="1:11" s="211" customFormat="1" ht="12.75" x14ac:dyDescent="0.2">
      <c r="A122" s="228" t="s">
        <v>259</v>
      </c>
      <c r="B122" s="229">
        <v>5005</v>
      </c>
      <c r="C122" s="230">
        <v>91417.91</v>
      </c>
      <c r="D122" s="230">
        <v>0</v>
      </c>
      <c r="E122" s="230">
        <v>48586.85</v>
      </c>
      <c r="F122" s="230">
        <v>2163.39</v>
      </c>
      <c r="G122" s="230">
        <v>0</v>
      </c>
      <c r="H122" s="230">
        <v>69915.59</v>
      </c>
      <c r="I122" s="230">
        <f t="shared" si="4"/>
        <v>212083.74000000002</v>
      </c>
      <c r="J122" s="230">
        <v>0</v>
      </c>
      <c r="K122" s="230">
        <f t="shared" si="3"/>
        <v>212083.74000000002</v>
      </c>
    </row>
    <row r="123" spans="1:11" s="211" customFormat="1" ht="12.75" x14ac:dyDescent="0.2">
      <c r="A123" s="228" t="s">
        <v>260</v>
      </c>
      <c r="B123" s="229">
        <v>54002</v>
      </c>
      <c r="C123" s="230">
        <v>453395.49</v>
      </c>
      <c r="D123" s="230">
        <v>0</v>
      </c>
      <c r="E123" s="230">
        <v>335848.13</v>
      </c>
      <c r="F123" s="230">
        <v>0</v>
      </c>
      <c r="G123" s="230">
        <v>0</v>
      </c>
      <c r="H123" s="230">
        <v>61997.57</v>
      </c>
      <c r="I123" s="230">
        <f t="shared" si="4"/>
        <v>851241.19</v>
      </c>
      <c r="J123" s="230">
        <v>0</v>
      </c>
      <c r="K123" s="230">
        <f t="shared" si="3"/>
        <v>851241.19</v>
      </c>
    </row>
    <row r="124" spans="1:11" s="211" customFormat="1" ht="12.75" x14ac:dyDescent="0.2">
      <c r="A124" s="228" t="s">
        <v>261</v>
      </c>
      <c r="B124" s="229">
        <v>15003</v>
      </c>
      <c r="C124" s="230">
        <v>26138.77</v>
      </c>
      <c r="D124" s="230">
        <v>0</v>
      </c>
      <c r="E124" s="230">
        <v>4111.96</v>
      </c>
      <c r="F124" s="230">
        <v>0</v>
      </c>
      <c r="G124" s="230">
        <v>0</v>
      </c>
      <c r="H124" s="230">
        <v>1182.0999999999999</v>
      </c>
      <c r="I124" s="230">
        <f t="shared" si="4"/>
        <v>31432.829999999998</v>
      </c>
      <c r="J124" s="230">
        <v>0</v>
      </c>
      <c r="K124" s="230">
        <f t="shared" si="3"/>
        <v>31432.829999999998</v>
      </c>
    </row>
    <row r="125" spans="1:11" s="211" customFormat="1" ht="12.75" x14ac:dyDescent="0.2">
      <c r="A125" s="228" t="s">
        <v>262</v>
      </c>
      <c r="B125" s="229">
        <v>26005</v>
      </c>
      <c r="C125" s="230">
        <v>45099.12</v>
      </c>
      <c r="D125" s="230">
        <v>0</v>
      </c>
      <c r="E125" s="230">
        <v>3375.54</v>
      </c>
      <c r="F125" s="230">
        <v>0</v>
      </c>
      <c r="G125" s="230">
        <v>0</v>
      </c>
      <c r="H125" s="230">
        <v>13088.54</v>
      </c>
      <c r="I125" s="230">
        <f t="shared" si="4"/>
        <v>61563.200000000004</v>
      </c>
      <c r="J125" s="230">
        <v>0</v>
      </c>
      <c r="K125" s="230">
        <f t="shared" si="3"/>
        <v>61563.200000000004</v>
      </c>
    </row>
    <row r="126" spans="1:11" s="211" customFormat="1" ht="12.75" x14ac:dyDescent="0.2">
      <c r="A126" s="228" t="s">
        <v>263</v>
      </c>
      <c r="B126" s="229">
        <v>40002</v>
      </c>
      <c r="C126" s="230">
        <v>127315.63</v>
      </c>
      <c r="D126" s="230">
        <v>0</v>
      </c>
      <c r="E126" s="230">
        <v>381910.87</v>
      </c>
      <c r="F126" s="230">
        <v>0</v>
      </c>
      <c r="G126" s="230">
        <v>0</v>
      </c>
      <c r="H126" s="230">
        <v>97775.59</v>
      </c>
      <c r="I126" s="230">
        <f t="shared" si="4"/>
        <v>607002.09</v>
      </c>
      <c r="J126" s="230">
        <v>0</v>
      </c>
      <c r="K126" s="230">
        <f t="shared" si="3"/>
        <v>607002.09</v>
      </c>
    </row>
    <row r="127" spans="1:11" s="211" customFormat="1" ht="12.75" x14ac:dyDescent="0.2">
      <c r="A127" s="228" t="s">
        <v>264</v>
      </c>
      <c r="B127" s="229">
        <v>57001</v>
      </c>
      <c r="C127" s="230">
        <v>32878.36</v>
      </c>
      <c r="D127" s="230">
        <v>0</v>
      </c>
      <c r="E127" s="230">
        <v>87516.31</v>
      </c>
      <c r="F127" s="230">
        <v>0</v>
      </c>
      <c r="G127" s="230">
        <v>0</v>
      </c>
      <c r="H127" s="230">
        <v>54814.44</v>
      </c>
      <c r="I127" s="230">
        <f t="shared" si="4"/>
        <v>175209.11</v>
      </c>
      <c r="J127" s="230">
        <v>0</v>
      </c>
      <c r="K127" s="230">
        <f t="shared" si="3"/>
        <v>175209.11</v>
      </c>
    </row>
    <row r="128" spans="1:11" s="211" customFormat="1" ht="12.75" x14ac:dyDescent="0.2">
      <c r="A128" s="228" t="s">
        <v>265</v>
      </c>
      <c r="B128" s="229">
        <v>54006</v>
      </c>
      <c r="C128" s="230">
        <v>83012.600000000006</v>
      </c>
      <c r="D128" s="230">
        <v>0</v>
      </c>
      <c r="E128" s="230">
        <v>24306.63</v>
      </c>
      <c r="F128" s="230">
        <v>0</v>
      </c>
      <c r="G128" s="230">
        <v>526329.19999999995</v>
      </c>
      <c r="H128" s="230">
        <v>11421.34</v>
      </c>
      <c r="I128" s="230">
        <f t="shared" si="4"/>
        <v>645069.7699999999</v>
      </c>
      <c r="J128" s="230">
        <v>526329.19999999995</v>
      </c>
      <c r="K128" s="230">
        <f t="shared" si="3"/>
        <v>118740.56999999995</v>
      </c>
    </row>
    <row r="129" spans="1:11" s="211" customFormat="1" ht="12.75" x14ac:dyDescent="0.2">
      <c r="A129" s="228" t="s">
        <v>266</v>
      </c>
      <c r="B129" s="229">
        <v>41005</v>
      </c>
      <c r="C129" s="230">
        <v>155187.79999999999</v>
      </c>
      <c r="D129" s="230">
        <v>0</v>
      </c>
      <c r="E129" s="230">
        <v>71327.5</v>
      </c>
      <c r="F129" s="230">
        <v>0</v>
      </c>
      <c r="G129" s="230">
        <v>0</v>
      </c>
      <c r="H129" s="230">
        <v>294529.46999999997</v>
      </c>
      <c r="I129" s="230">
        <f t="shared" si="4"/>
        <v>521044.76999999996</v>
      </c>
      <c r="J129" s="230">
        <v>0</v>
      </c>
      <c r="K129" s="230">
        <f t="shared" si="3"/>
        <v>521044.76999999996</v>
      </c>
    </row>
    <row r="130" spans="1:11" s="211" customFormat="1" ht="12.75" x14ac:dyDescent="0.2">
      <c r="A130" s="228" t="s">
        <v>267</v>
      </c>
      <c r="B130" s="229">
        <v>20003</v>
      </c>
      <c r="C130" s="230">
        <v>40160.199999999997</v>
      </c>
      <c r="D130" s="230">
        <v>0</v>
      </c>
      <c r="E130" s="230">
        <v>2960.71</v>
      </c>
      <c r="F130" s="230">
        <v>0</v>
      </c>
      <c r="G130" s="230">
        <v>0</v>
      </c>
      <c r="H130" s="230">
        <v>18576.45</v>
      </c>
      <c r="I130" s="230">
        <f t="shared" si="4"/>
        <v>61697.36</v>
      </c>
      <c r="J130" s="230">
        <v>0</v>
      </c>
      <c r="K130" s="230">
        <f t="shared" si="3"/>
        <v>61697.36</v>
      </c>
    </row>
    <row r="131" spans="1:11" s="211" customFormat="1" ht="12.75" x14ac:dyDescent="0.2">
      <c r="A131" s="228" t="s">
        <v>268</v>
      </c>
      <c r="B131" s="229">
        <v>66001</v>
      </c>
      <c r="C131" s="230">
        <v>388586.44</v>
      </c>
      <c r="D131" s="230">
        <v>0</v>
      </c>
      <c r="E131" s="230">
        <v>0</v>
      </c>
      <c r="F131" s="230">
        <v>0</v>
      </c>
      <c r="G131" s="230">
        <v>0</v>
      </c>
      <c r="H131" s="230">
        <v>402.49</v>
      </c>
      <c r="I131" s="230">
        <f t="shared" si="4"/>
        <v>388988.93</v>
      </c>
      <c r="J131" s="230">
        <v>0</v>
      </c>
      <c r="K131" s="230">
        <f t="shared" si="3"/>
        <v>388988.93</v>
      </c>
    </row>
    <row r="132" spans="1:11" s="211" customFormat="1" ht="12.75" x14ac:dyDescent="0.2">
      <c r="A132" s="228" t="s">
        <v>269</v>
      </c>
      <c r="B132" s="229">
        <v>33005</v>
      </c>
      <c r="C132" s="230">
        <v>68280.3</v>
      </c>
      <c r="D132" s="230">
        <v>0</v>
      </c>
      <c r="E132" s="230">
        <v>7962.38</v>
      </c>
      <c r="F132" s="230">
        <v>0</v>
      </c>
      <c r="G132" s="230">
        <v>248998.69</v>
      </c>
      <c r="H132" s="230">
        <v>23668.3</v>
      </c>
      <c r="I132" s="230">
        <f t="shared" si="4"/>
        <v>348909.67</v>
      </c>
      <c r="J132" s="230">
        <v>122232.03</v>
      </c>
      <c r="K132" s="230">
        <f t="shared" si="3"/>
        <v>226677.63999999998</v>
      </c>
    </row>
    <row r="133" spans="1:11" s="211" customFormat="1" ht="12.75" x14ac:dyDescent="0.2">
      <c r="A133" s="228" t="s">
        <v>270</v>
      </c>
      <c r="B133" s="229">
        <v>49006</v>
      </c>
      <c r="C133" s="230">
        <v>306759.18</v>
      </c>
      <c r="D133" s="230">
        <v>0</v>
      </c>
      <c r="E133" s="230">
        <v>38781.69</v>
      </c>
      <c r="F133" s="230">
        <v>0</v>
      </c>
      <c r="G133" s="230">
        <v>0</v>
      </c>
      <c r="H133" s="230">
        <v>495951.89</v>
      </c>
      <c r="I133" s="230">
        <f t="shared" si="4"/>
        <v>841492.76</v>
      </c>
      <c r="J133" s="230">
        <v>0</v>
      </c>
      <c r="K133" s="230">
        <f t="shared" ref="K133:K152" si="5">I133-J133</f>
        <v>841492.76</v>
      </c>
    </row>
    <row r="134" spans="1:11" s="211" customFormat="1" ht="12.75" x14ac:dyDescent="0.2">
      <c r="A134" s="228" t="s">
        <v>271</v>
      </c>
      <c r="B134" s="229">
        <v>13001</v>
      </c>
      <c r="C134" s="230">
        <v>168619.48</v>
      </c>
      <c r="D134" s="230">
        <v>0</v>
      </c>
      <c r="E134" s="230">
        <v>140380.64000000001</v>
      </c>
      <c r="F134" s="230">
        <v>104.96</v>
      </c>
      <c r="G134" s="230">
        <v>0</v>
      </c>
      <c r="H134" s="230">
        <v>45021.84</v>
      </c>
      <c r="I134" s="230">
        <f t="shared" si="4"/>
        <v>354126.92000000004</v>
      </c>
      <c r="J134" s="230">
        <v>0</v>
      </c>
      <c r="K134" s="230">
        <f t="shared" si="5"/>
        <v>354126.92000000004</v>
      </c>
    </row>
    <row r="135" spans="1:11" s="211" customFormat="1" ht="12.75" x14ac:dyDescent="0.2">
      <c r="A135" s="228" t="s">
        <v>272</v>
      </c>
      <c r="B135" s="229">
        <v>60006</v>
      </c>
      <c r="C135" s="230">
        <v>143042.44</v>
      </c>
      <c r="D135" s="230">
        <v>0</v>
      </c>
      <c r="E135" s="230">
        <v>12401.21</v>
      </c>
      <c r="F135" s="230">
        <v>994.77</v>
      </c>
      <c r="G135" s="230">
        <v>0</v>
      </c>
      <c r="H135" s="230">
        <v>18701.04</v>
      </c>
      <c r="I135" s="230">
        <f t="shared" si="4"/>
        <v>175139.46</v>
      </c>
      <c r="J135" s="230">
        <v>0</v>
      </c>
      <c r="K135" s="230">
        <f t="shared" si="5"/>
        <v>175139.46</v>
      </c>
    </row>
    <row r="136" spans="1:11" s="211" customFormat="1" ht="12.75" x14ac:dyDescent="0.2">
      <c r="A136" s="228" t="s">
        <v>273</v>
      </c>
      <c r="B136" s="229">
        <v>11004</v>
      </c>
      <c r="C136" s="230">
        <v>113638</v>
      </c>
      <c r="D136" s="230">
        <v>0</v>
      </c>
      <c r="E136" s="230">
        <v>34776.57</v>
      </c>
      <c r="F136" s="230">
        <v>0</v>
      </c>
      <c r="G136" s="230">
        <v>83382.91</v>
      </c>
      <c r="H136" s="230">
        <v>42805.95</v>
      </c>
      <c r="I136" s="230">
        <f t="shared" si="4"/>
        <v>274603.43</v>
      </c>
      <c r="J136" s="230">
        <v>77199.17</v>
      </c>
      <c r="K136" s="230">
        <f t="shared" si="5"/>
        <v>197404.26</v>
      </c>
    </row>
    <row r="137" spans="1:11" s="211" customFormat="1" ht="12.75" x14ac:dyDescent="0.2">
      <c r="A137" s="228" t="s">
        <v>274</v>
      </c>
      <c r="B137" s="229">
        <v>51005</v>
      </c>
      <c r="C137" s="230">
        <v>114214.53</v>
      </c>
      <c r="D137" s="230">
        <v>0</v>
      </c>
      <c r="E137" s="230">
        <v>11863.34</v>
      </c>
      <c r="F137" s="230">
        <v>0</v>
      </c>
      <c r="G137" s="230">
        <v>0</v>
      </c>
      <c r="H137" s="230">
        <v>20099.21</v>
      </c>
      <c r="I137" s="230">
        <f t="shared" si="4"/>
        <v>146177.07999999999</v>
      </c>
      <c r="J137" s="230">
        <v>0</v>
      </c>
      <c r="K137" s="230">
        <f t="shared" si="5"/>
        <v>146177.07999999999</v>
      </c>
    </row>
    <row r="138" spans="1:11" s="211" customFormat="1" ht="12.75" x14ac:dyDescent="0.2">
      <c r="A138" s="228" t="s">
        <v>275</v>
      </c>
      <c r="B138" s="229">
        <v>6005</v>
      </c>
      <c r="C138" s="230">
        <v>35272.06</v>
      </c>
      <c r="D138" s="230">
        <v>0</v>
      </c>
      <c r="E138" s="230">
        <v>15863.36</v>
      </c>
      <c r="F138" s="230">
        <v>41.1</v>
      </c>
      <c r="G138" s="230">
        <v>0</v>
      </c>
      <c r="H138" s="230">
        <v>22772.53</v>
      </c>
      <c r="I138" s="230">
        <f t="shared" si="4"/>
        <v>73949.049999999988</v>
      </c>
      <c r="J138" s="230">
        <v>0</v>
      </c>
      <c r="K138" s="230">
        <f t="shared" si="5"/>
        <v>73949.049999999988</v>
      </c>
    </row>
    <row r="139" spans="1:11" s="211" customFormat="1" ht="12.75" x14ac:dyDescent="0.2">
      <c r="A139" s="228" t="s">
        <v>276</v>
      </c>
      <c r="B139" s="229">
        <v>14004</v>
      </c>
      <c r="C139" s="230">
        <v>258271.2</v>
      </c>
      <c r="D139" s="230">
        <v>0</v>
      </c>
      <c r="E139" s="230">
        <v>414409.15</v>
      </c>
      <c r="F139" s="230">
        <v>24158.69</v>
      </c>
      <c r="G139" s="230">
        <v>65383.45</v>
      </c>
      <c r="H139" s="230">
        <v>301200.06</v>
      </c>
      <c r="I139" s="230">
        <f t="shared" si="4"/>
        <v>1063422.55</v>
      </c>
      <c r="J139" s="230">
        <v>65383.45</v>
      </c>
      <c r="K139" s="230">
        <f t="shared" si="5"/>
        <v>998039.10000000009</v>
      </c>
    </row>
    <row r="140" spans="1:11" s="211" customFormat="1" ht="12.75" x14ac:dyDescent="0.2">
      <c r="A140" s="228" t="s">
        <v>277</v>
      </c>
      <c r="B140" s="229">
        <v>18003</v>
      </c>
      <c r="C140" s="230">
        <v>47408.21</v>
      </c>
      <c r="D140" s="230">
        <v>0</v>
      </c>
      <c r="E140" s="230">
        <v>25793.53</v>
      </c>
      <c r="F140" s="230">
        <v>0</v>
      </c>
      <c r="G140" s="230">
        <v>0</v>
      </c>
      <c r="H140" s="230">
        <v>8711.9599999999991</v>
      </c>
      <c r="I140" s="230">
        <f t="shared" si="4"/>
        <v>81913.699999999983</v>
      </c>
      <c r="J140" s="230">
        <v>0</v>
      </c>
      <c r="K140" s="230">
        <f t="shared" si="5"/>
        <v>81913.699999999983</v>
      </c>
    </row>
    <row r="141" spans="1:11" s="211" customFormat="1" ht="12.75" x14ac:dyDescent="0.2">
      <c r="A141" s="228" t="s">
        <v>278</v>
      </c>
      <c r="B141" s="229">
        <v>14005</v>
      </c>
      <c r="C141" s="230">
        <v>62059.96</v>
      </c>
      <c r="D141" s="230">
        <v>0</v>
      </c>
      <c r="E141" s="230">
        <v>14235.8</v>
      </c>
      <c r="F141" s="230">
        <v>0</v>
      </c>
      <c r="G141" s="230">
        <v>699507.82</v>
      </c>
      <c r="H141" s="230">
        <v>19841.349999999999</v>
      </c>
      <c r="I141" s="230">
        <f t="shared" si="4"/>
        <v>795644.92999999993</v>
      </c>
      <c r="J141" s="230">
        <v>641074.06200000003</v>
      </c>
      <c r="K141" s="230">
        <f t="shared" si="5"/>
        <v>154570.8679999999</v>
      </c>
    </row>
    <row r="142" spans="1:11" s="211" customFormat="1" ht="12.75" x14ac:dyDescent="0.2">
      <c r="A142" s="228" t="s">
        <v>279</v>
      </c>
      <c r="B142" s="229">
        <v>18005</v>
      </c>
      <c r="C142" s="230">
        <v>204227.87</v>
      </c>
      <c r="D142" s="230">
        <v>0</v>
      </c>
      <c r="E142" s="230">
        <v>52746.25</v>
      </c>
      <c r="F142" s="230">
        <v>3282.63</v>
      </c>
      <c r="G142" s="230">
        <v>0</v>
      </c>
      <c r="H142" s="230">
        <v>26026.67</v>
      </c>
      <c r="I142" s="230">
        <f t="shared" si="4"/>
        <v>286283.42</v>
      </c>
      <c r="J142" s="230">
        <v>0</v>
      </c>
      <c r="K142" s="230">
        <f t="shared" si="5"/>
        <v>286283.42</v>
      </c>
    </row>
    <row r="143" spans="1:11" s="211" customFormat="1" ht="12.75" x14ac:dyDescent="0.2">
      <c r="A143" s="228" t="s">
        <v>280</v>
      </c>
      <c r="B143" s="229">
        <v>36002</v>
      </c>
      <c r="C143" s="230">
        <v>98947.199999999997</v>
      </c>
      <c r="D143" s="230">
        <v>0</v>
      </c>
      <c r="E143" s="230">
        <v>15617.07</v>
      </c>
      <c r="F143" s="230">
        <v>2365.89</v>
      </c>
      <c r="G143" s="230">
        <v>158428.01999999999</v>
      </c>
      <c r="H143" s="230">
        <v>27020.76</v>
      </c>
      <c r="I143" s="230">
        <f t="shared" si="4"/>
        <v>302378.94</v>
      </c>
      <c r="J143" s="230">
        <v>0</v>
      </c>
      <c r="K143" s="230">
        <f t="shared" si="5"/>
        <v>302378.94</v>
      </c>
    </row>
    <row r="144" spans="1:11" s="211" customFormat="1" ht="12.75" x14ac:dyDescent="0.2">
      <c r="A144" s="228" t="s">
        <v>281</v>
      </c>
      <c r="B144" s="229">
        <v>49007</v>
      </c>
      <c r="C144" s="230">
        <v>330149.84000000003</v>
      </c>
      <c r="D144" s="230">
        <v>0</v>
      </c>
      <c r="E144" s="230">
        <v>50967.83</v>
      </c>
      <c r="F144" s="230">
        <v>0</v>
      </c>
      <c r="G144" s="230">
        <v>0</v>
      </c>
      <c r="H144" s="230">
        <v>375798.73</v>
      </c>
      <c r="I144" s="230">
        <f t="shared" si="4"/>
        <v>756916.4</v>
      </c>
      <c r="J144" s="230">
        <v>0</v>
      </c>
      <c r="K144" s="230">
        <f t="shared" si="5"/>
        <v>756916.4</v>
      </c>
    </row>
    <row r="145" spans="1:11" s="211" customFormat="1" ht="12.75" x14ac:dyDescent="0.2">
      <c r="A145" s="228" t="s">
        <v>282</v>
      </c>
      <c r="B145" s="229">
        <v>1003</v>
      </c>
      <c r="C145" s="230">
        <v>37348.879999999997</v>
      </c>
      <c r="D145" s="230">
        <v>0</v>
      </c>
      <c r="E145" s="230">
        <v>13369.98</v>
      </c>
      <c r="F145" s="230">
        <v>0</v>
      </c>
      <c r="G145" s="230">
        <v>170063.39</v>
      </c>
      <c r="H145" s="230">
        <v>27618.7</v>
      </c>
      <c r="I145" s="230">
        <f t="shared" si="4"/>
        <v>248400.95</v>
      </c>
      <c r="J145" s="230">
        <v>20257.541999999998</v>
      </c>
      <c r="K145" s="230">
        <f t="shared" si="5"/>
        <v>228143.40800000002</v>
      </c>
    </row>
    <row r="146" spans="1:11" s="211" customFormat="1" ht="12.75" x14ac:dyDescent="0.2">
      <c r="A146" s="228" t="s">
        <v>283</v>
      </c>
      <c r="B146" s="229">
        <v>47001</v>
      </c>
      <c r="C146" s="230">
        <v>70418.97</v>
      </c>
      <c r="D146" s="230">
        <v>0</v>
      </c>
      <c r="E146" s="230">
        <v>13267.94</v>
      </c>
      <c r="F146" s="230">
        <v>0</v>
      </c>
      <c r="G146" s="230">
        <v>0</v>
      </c>
      <c r="H146" s="230">
        <v>895.01</v>
      </c>
      <c r="I146" s="230">
        <f t="shared" si="4"/>
        <v>84581.92</v>
      </c>
      <c r="J146" s="230">
        <v>0</v>
      </c>
      <c r="K146" s="230">
        <f t="shared" si="5"/>
        <v>84581.92</v>
      </c>
    </row>
    <row r="147" spans="1:11" s="211" customFormat="1" ht="12.75" x14ac:dyDescent="0.2">
      <c r="A147" s="228" t="s">
        <v>284</v>
      </c>
      <c r="B147" s="229">
        <v>12003</v>
      </c>
      <c r="C147" s="230">
        <v>438922.91</v>
      </c>
      <c r="D147" s="230">
        <v>0</v>
      </c>
      <c r="E147" s="230">
        <v>10687.57</v>
      </c>
      <c r="F147" s="230">
        <v>0</v>
      </c>
      <c r="G147" s="230">
        <v>0</v>
      </c>
      <c r="H147" s="230">
        <v>12217.72</v>
      </c>
      <c r="I147" s="230">
        <f t="shared" si="4"/>
        <v>461828.19999999995</v>
      </c>
      <c r="J147" s="230">
        <v>0</v>
      </c>
      <c r="K147" s="230">
        <f t="shared" si="5"/>
        <v>461828.19999999995</v>
      </c>
    </row>
    <row r="148" spans="1:11" s="211" customFormat="1" ht="12.75" x14ac:dyDescent="0.2">
      <c r="A148" s="228" t="s">
        <v>285</v>
      </c>
      <c r="B148" s="229">
        <v>54007</v>
      </c>
      <c r="C148" s="230">
        <v>83953.61</v>
      </c>
      <c r="D148" s="230">
        <v>0</v>
      </c>
      <c r="E148" s="230">
        <v>40479.99</v>
      </c>
      <c r="F148" s="230">
        <v>0.88</v>
      </c>
      <c r="G148" s="230">
        <v>0</v>
      </c>
      <c r="H148" s="230">
        <v>18607.98</v>
      </c>
      <c r="I148" s="230">
        <f t="shared" si="4"/>
        <v>143042.46000000002</v>
      </c>
      <c r="J148" s="230">
        <v>0</v>
      </c>
      <c r="K148" s="230">
        <f t="shared" si="5"/>
        <v>143042.46000000002</v>
      </c>
    </row>
    <row r="149" spans="1:11" s="211" customFormat="1" ht="12.75" x14ac:dyDescent="0.2">
      <c r="A149" s="228" t="s">
        <v>286</v>
      </c>
      <c r="B149" s="229">
        <v>59002</v>
      </c>
      <c r="C149" s="230">
        <v>208207.04</v>
      </c>
      <c r="D149" s="230">
        <v>0</v>
      </c>
      <c r="E149" s="230">
        <v>38232.5</v>
      </c>
      <c r="F149" s="230">
        <v>0</v>
      </c>
      <c r="G149" s="230">
        <v>0</v>
      </c>
      <c r="H149" s="230">
        <v>65757.47</v>
      </c>
      <c r="I149" s="230">
        <f t="shared" si="4"/>
        <v>312197.01</v>
      </c>
      <c r="J149" s="230">
        <v>0</v>
      </c>
      <c r="K149" s="230">
        <f t="shared" si="5"/>
        <v>312197.01</v>
      </c>
    </row>
    <row r="150" spans="1:11" s="211" customFormat="1" ht="12.75" x14ac:dyDescent="0.2">
      <c r="A150" s="228" t="s">
        <v>287</v>
      </c>
      <c r="B150" s="229">
        <v>2006</v>
      </c>
      <c r="C150" s="230">
        <v>52693.31</v>
      </c>
      <c r="D150" s="230">
        <v>0</v>
      </c>
      <c r="E150" s="230">
        <v>12154.48</v>
      </c>
      <c r="F150" s="230">
        <v>7364.66</v>
      </c>
      <c r="G150" s="230">
        <v>33304.629999999997</v>
      </c>
      <c r="H150" s="230">
        <v>31205.74</v>
      </c>
      <c r="I150" s="230">
        <f t="shared" si="4"/>
        <v>136722.81999999998</v>
      </c>
      <c r="J150" s="230">
        <v>33304.629999999997</v>
      </c>
      <c r="K150" s="230">
        <f t="shared" si="5"/>
        <v>103418.18999999997</v>
      </c>
    </row>
    <row r="151" spans="1:11" s="211" customFormat="1" ht="12.75" x14ac:dyDescent="0.2">
      <c r="A151" s="228" t="s">
        <v>288</v>
      </c>
      <c r="B151" s="229">
        <v>55004</v>
      </c>
      <c r="C151" s="230">
        <v>32820.31</v>
      </c>
      <c r="D151" s="230">
        <v>0</v>
      </c>
      <c r="E151" s="230">
        <v>13753.15</v>
      </c>
      <c r="F151" s="230">
        <v>0</v>
      </c>
      <c r="G151" s="230">
        <v>0</v>
      </c>
      <c r="H151" s="230">
        <v>2803.23</v>
      </c>
      <c r="I151" s="230">
        <f t="shared" si="4"/>
        <v>49376.69</v>
      </c>
      <c r="J151" s="230">
        <v>0</v>
      </c>
      <c r="K151" s="230">
        <f t="shared" si="5"/>
        <v>49376.69</v>
      </c>
    </row>
    <row r="152" spans="1:11" s="211" customFormat="1" ht="12.75" x14ac:dyDescent="0.2">
      <c r="A152" s="228" t="s">
        <v>289</v>
      </c>
      <c r="B152" s="229">
        <v>63003</v>
      </c>
      <c r="C152" s="230">
        <v>272690.07</v>
      </c>
      <c r="D152" s="230">
        <v>0</v>
      </c>
      <c r="E152" s="230">
        <v>352861.86</v>
      </c>
      <c r="F152" s="230">
        <v>0</v>
      </c>
      <c r="G152" s="230">
        <v>0</v>
      </c>
      <c r="H152" s="230">
        <v>482379.26</v>
      </c>
      <c r="I152" s="230">
        <f t="shared" si="4"/>
        <v>1107931.19</v>
      </c>
      <c r="J152" s="230">
        <v>0</v>
      </c>
      <c r="K152" s="230">
        <f t="shared" si="5"/>
        <v>1107931.19</v>
      </c>
    </row>
    <row r="153" spans="1:11" s="211" customFormat="1" ht="12.75" x14ac:dyDescent="0.2">
      <c r="C153" s="215">
        <f t="shared" ref="C153:H153" si="6">SUM(C5:C152)</f>
        <v>24044076.379999999</v>
      </c>
      <c r="D153" s="215">
        <f t="shared" si="6"/>
        <v>29475.77</v>
      </c>
      <c r="E153" s="215">
        <f t="shared" si="6"/>
        <v>9337706.9900000021</v>
      </c>
      <c r="F153" s="215">
        <f t="shared" si="6"/>
        <v>141278.01000000004</v>
      </c>
      <c r="G153" s="215">
        <f t="shared" si="6"/>
        <v>6248753.6500000013</v>
      </c>
      <c r="H153" s="215">
        <f t="shared" si="6"/>
        <v>18286715.530000001</v>
      </c>
      <c r="I153" s="215">
        <f>SUM(I5:I152)</f>
        <v>58088006.329999991</v>
      </c>
      <c r="J153" s="215">
        <f>SUM(J5:J152)</f>
        <v>4200556.682</v>
      </c>
      <c r="K153" s="215">
        <f t="shared" ref="K153" si="7">SUM(K5:K152)</f>
        <v>53887449.647999972</v>
      </c>
    </row>
    <row r="154" spans="1:11" s="211" customFormat="1" ht="12.75" x14ac:dyDescent="0.2"/>
    <row r="155" spans="1:11" s="211" customFormat="1" ht="12.75" x14ac:dyDescent="0.2"/>
    <row r="156" spans="1:11" s="211" customFormat="1" ht="12.75" x14ac:dyDescent="0.2"/>
    <row r="157" spans="1:11" s="211" customFormat="1" ht="12.75" x14ac:dyDescent="0.2"/>
    <row r="158" spans="1:11" s="211" customFormat="1" ht="12.75" x14ac:dyDescent="0.2"/>
    <row r="159" spans="1:11" s="211" customFormat="1" ht="12.75" x14ac:dyDescent="0.2"/>
    <row r="160" spans="1:11" s="211" customFormat="1" ht="12.75" x14ac:dyDescent="0.2"/>
    <row r="161" s="211" customFormat="1" ht="12.75" x14ac:dyDescent="0.2"/>
    <row r="162" s="211" customFormat="1" ht="12.75" x14ac:dyDescent="0.2"/>
    <row r="163" s="211" customFormat="1" ht="12.75" x14ac:dyDescent="0.2"/>
    <row r="164" s="211" customFormat="1" ht="12.75" x14ac:dyDescent="0.2"/>
    <row r="165" s="211" customFormat="1" ht="12.75" x14ac:dyDescent="0.2"/>
    <row r="166" s="211" customFormat="1" ht="12.75" x14ac:dyDescent="0.2"/>
    <row r="167" s="211" customFormat="1" ht="12.75" x14ac:dyDescent="0.2"/>
    <row r="168" s="211" customFormat="1" ht="12.75" x14ac:dyDescent="0.2"/>
    <row r="169" s="211" customFormat="1" ht="12.75" x14ac:dyDescent="0.2"/>
    <row r="170" s="211" customFormat="1" ht="12.75" x14ac:dyDescent="0.2"/>
    <row r="171" s="211" customFormat="1" ht="12.75" x14ac:dyDescent="0.2"/>
    <row r="172" s="211" customFormat="1" ht="12.75" x14ac:dyDescent="0.2"/>
    <row r="173" s="211" customFormat="1" ht="12.75" x14ac:dyDescent="0.2"/>
    <row r="174" s="211" customFormat="1" ht="12.75" x14ac:dyDescent="0.2"/>
    <row r="175" s="211" customFormat="1" ht="12.75" x14ac:dyDescent="0.2"/>
    <row r="176" s="211" customFormat="1" ht="12.75" x14ac:dyDescent="0.2"/>
    <row r="177" s="211" customFormat="1" ht="12.75" x14ac:dyDescent="0.2"/>
    <row r="178" s="211" customFormat="1" ht="12.75" x14ac:dyDescent="0.2"/>
    <row r="179" s="211" customFormat="1" ht="12.75" x14ac:dyDescent="0.2"/>
    <row r="180" s="211" customFormat="1" ht="12.75" x14ac:dyDescent="0.2"/>
    <row r="181" s="211" customFormat="1" ht="12.75" x14ac:dyDescent="0.2"/>
    <row r="182" s="211" customFormat="1" ht="12.75" x14ac:dyDescent="0.2"/>
    <row r="183" s="211" customFormat="1" ht="12.75" x14ac:dyDescent="0.2"/>
    <row r="184" s="211" customFormat="1" ht="12.75" x14ac:dyDescent="0.2"/>
    <row r="185" s="211" customFormat="1" ht="12.75" x14ac:dyDescent="0.2"/>
    <row r="186" s="211" customFormat="1" ht="12.75" x14ac:dyDescent="0.2"/>
    <row r="187" s="211" customFormat="1" ht="12.75" x14ac:dyDescent="0.2"/>
    <row r="188" s="211" customFormat="1" ht="12.75" x14ac:dyDescent="0.2"/>
    <row r="189" s="211" customFormat="1" ht="12.75" x14ac:dyDescent="0.2"/>
    <row r="190" s="211" customFormat="1" ht="12.75" x14ac:dyDescent="0.2"/>
    <row r="191" s="211" customFormat="1" ht="12.75" x14ac:dyDescent="0.2"/>
    <row r="192" s="211" customFormat="1" ht="12.75" x14ac:dyDescent="0.2"/>
    <row r="193" s="211" customFormat="1" ht="12.75" x14ac:dyDescent="0.2"/>
    <row r="194" s="211" customFormat="1" ht="12.75" x14ac:dyDescent="0.2"/>
    <row r="195" s="211" customFormat="1" ht="12.75" x14ac:dyDescent="0.2"/>
    <row r="196" s="211" customFormat="1" ht="12.75" x14ac:dyDescent="0.2"/>
    <row r="197" s="211" customFormat="1" ht="12.75" x14ac:dyDescent="0.2"/>
    <row r="198" s="211" customFormat="1" ht="12.75" x14ac:dyDescent="0.2"/>
    <row r="199" s="211" customFormat="1" ht="12.75" x14ac:dyDescent="0.2"/>
    <row r="200" s="211" customFormat="1" ht="12.75" x14ac:dyDescent="0.2"/>
    <row r="201" s="211" customFormat="1" ht="12.75" x14ac:dyDescent="0.2"/>
    <row r="202" s="211" customFormat="1" ht="12.75" x14ac:dyDescent="0.2"/>
    <row r="203" s="211" customFormat="1" ht="12.75" x14ac:dyDescent="0.2"/>
    <row r="204" s="211" customFormat="1" ht="12.75" x14ac:dyDescent="0.2"/>
    <row r="205" s="211" customFormat="1" ht="12.75" x14ac:dyDescent="0.2"/>
    <row r="206" s="211" customFormat="1" ht="12.75" x14ac:dyDescent="0.2"/>
    <row r="207" s="211" customFormat="1" ht="12.75" x14ac:dyDescent="0.2"/>
    <row r="208" s="211" customFormat="1" ht="12.75" x14ac:dyDescent="0.2"/>
    <row r="209" s="211" customFormat="1" ht="12.75" x14ac:dyDescent="0.2"/>
    <row r="210" s="211" customFormat="1" ht="12.75" x14ac:dyDescent="0.2"/>
    <row r="211" s="211" customFormat="1" ht="12.75" x14ac:dyDescent="0.2"/>
    <row r="212" s="211" customFormat="1" ht="12.75" x14ac:dyDescent="0.2"/>
    <row r="213" s="211" customFormat="1" ht="12.75" x14ac:dyDescent="0.2"/>
    <row r="214" s="211" customFormat="1" ht="12.75" x14ac:dyDescent="0.2"/>
    <row r="215" s="211" customFormat="1" ht="12.75" x14ac:dyDescent="0.2"/>
    <row r="216" s="211" customFormat="1" ht="12.75" x14ac:dyDescent="0.2"/>
    <row r="217" s="211" customFormat="1" ht="12.75" x14ac:dyDescent="0.2"/>
    <row r="218" s="211" customFormat="1" ht="12.75" x14ac:dyDescent="0.2"/>
    <row r="219" s="211" customFormat="1" ht="12.75" x14ac:dyDescent="0.2"/>
    <row r="220" s="211" customFormat="1" ht="12.75" x14ac:dyDescent="0.2"/>
    <row r="221" s="211" customFormat="1" ht="12.75" x14ac:dyDescent="0.2"/>
    <row r="222" s="211" customFormat="1" ht="12.75" x14ac:dyDescent="0.2"/>
    <row r="223" s="211" customFormat="1" ht="12.75" x14ac:dyDescent="0.2"/>
    <row r="224" s="211" customFormat="1" ht="12.75" x14ac:dyDescent="0.2"/>
    <row r="225" s="211" customFormat="1" ht="12.75" x14ac:dyDescent="0.2"/>
    <row r="226" s="211" customFormat="1" ht="12.75" x14ac:dyDescent="0.2"/>
    <row r="227" s="211" customFormat="1" ht="12.75" x14ac:dyDescent="0.2"/>
    <row r="228" s="211" customFormat="1" ht="12.75" x14ac:dyDescent="0.2"/>
    <row r="229" s="211" customFormat="1" ht="12.75" x14ac:dyDescent="0.2"/>
    <row r="230" s="211" customFormat="1" ht="12.75" x14ac:dyDescent="0.2"/>
    <row r="231" s="211" customFormat="1" ht="12.75" x14ac:dyDescent="0.2"/>
    <row r="232" s="211" customFormat="1" ht="12.75" x14ac:dyDescent="0.2"/>
    <row r="233" s="211" customFormat="1" ht="12.75" x14ac:dyDescent="0.2"/>
    <row r="234" s="211" customFormat="1" ht="12.75" x14ac:dyDescent="0.2"/>
    <row r="235" s="211" customFormat="1" ht="12.75" x14ac:dyDescent="0.2"/>
    <row r="236" s="211" customFormat="1" ht="12.75" x14ac:dyDescent="0.2"/>
    <row r="237" s="211" customFormat="1" ht="12.75" x14ac:dyDescent="0.2"/>
    <row r="238" s="211" customFormat="1" ht="12.75" x14ac:dyDescent="0.2"/>
    <row r="239" s="211" customFormat="1" ht="12.75" x14ac:dyDescent="0.2"/>
    <row r="240" s="211" customFormat="1" ht="12.75" x14ac:dyDescent="0.2"/>
    <row r="241" s="211" customFormat="1" ht="12.75" x14ac:dyDescent="0.2"/>
    <row r="242" s="211" customFormat="1" ht="12.75" x14ac:dyDescent="0.2"/>
    <row r="243" s="211" customFormat="1" ht="12.75" x14ac:dyDescent="0.2"/>
    <row r="244" s="211" customFormat="1" ht="12.75" x14ac:dyDescent="0.2"/>
    <row r="245" s="211" customFormat="1" ht="12.75" x14ac:dyDescent="0.2"/>
    <row r="246" s="211" customFormat="1" ht="12.75" x14ac:dyDescent="0.2"/>
    <row r="247" s="211" customFormat="1" ht="12.75" x14ac:dyDescent="0.2"/>
    <row r="248" s="211" customFormat="1" ht="12.75" x14ac:dyDescent="0.2"/>
    <row r="249" s="211" customFormat="1" ht="12.75" x14ac:dyDescent="0.2"/>
    <row r="250" s="211" customFormat="1" ht="12.75" x14ac:dyDescent="0.2"/>
    <row r="251" s="211" customFormat="1" ht="12.75" x14ac:dyDescent="0.2"/>
    <row r="252" s="211" customFormat="1" ht="12.75" x14ac:dyDescent="0.2"/>
    <row r="253" s="211" customFormat="1" ht="12.75" x14ac:dyDescent="0.2"/>
    <row r="254" s="211" customFormat="1" ht="12.75" x14ac:dyDescent="0.2"/>
    <row r="255" s="211" customFormat="1" ht="12.75" x14ac:dyDescent="0.2"/>
    <row r="256" s="211" customFormat="1" ht="12.75" x14ac:dyDescent="0.2"/>
    <row r="257" s="211" customFormat="1" ht="12.75" x14ac:dyDescent="0.2"/>
    <row r="258" s="211" customFormat="1" ht="12.75" x14ac:dyDescent="0.2"/>
    <row r="259" s="211" customFormat="1" ht="12.75" x14ac:dyDescent="0.2"/>
    <row r="260" s="211" customFormat="1" ht="12.75" x14ac:dyDescent="0.2"/>
    <row r="261" s="211" customFormat="1" ht="12.75" x14ac:dyDescent="0.2"/>
    <row r="262" s="211" customFormat="1" ht="12.75" x14ac:dyDescent="0.2"/>
    <row r="263" s="211" customFormat="1" ht="12.75" x14ac:dyDescent="0.2"/>
    <row r="264" s="211" customFormat="1" ht="12.75" x14ac:dyDescent="0.2"/>
    <row r="265" s="211" customFormat="1" ht="12.75" x14ac:dyDescent="0.2"/>
    <row r="266" s="211" customFormat="1" ht="12.75" x14ac:dyDescent="0.2"/>
    <row r="267" s="211" customFormat="1" ht="12.75" x14ac:dyDescent="0.2"/>
    <row r="268" s="211" customFormat="1" ht="12.75" x14ac:dyDescent="0.2"/>
    <row r="269" s="211" customFormat="1" ht="12.75" x14ac:dyDescent="0.2"/>
    <row r="270" s="211" customFormat="1" ht="12.75" x14ac:dyDescent="0.2"/>
    <row r="271" s="211" customFormat="1" ht="12.75" x14ac:dyDescent="0.2"/>
    <row r="272" s="211" customFormat="1" ht="12.75" x14ac:dyDescent="0.2"/>
    <row r="273" s="211" customFormat="1" ht="12.75" x14ac:dyDescent="0.2"/>
    <row r="274" s="211" customFormat="1" ht="12.75" x14ac:dyDescent="0.2"/>
    <row r="275" s="211" customFormat="1" ht="12.75" x14ac:dyDescent="0.2"/>
    <row r="276" s="211" customFormat="1" ht="12.75" x14ac:dyDescent="0.2"/>
    <row r="277" s="211" customFormat="1" ht="12.75" x14ac:dyDescent="0.2"/>
    <row r="278" s="211" customFormat="1" ht="12.75" x14ac:dyDescent="0.2"/>
    <row r="279" s="211" customFormat="1" ht="12.75" x14ac:dyDescent="0.2"/>
    <row r="280" s="211" customFormat="1" ht="12.75" x14ac:dyDescent="0.2"/>
    <row r="281" s="211" customFormat="1" ht="12.75" x14ac:dyDescent="0.2"/>
    <row r="282" s="211" customFormat="1" ht="12.75" x14ac:dyDescent="0.2"/>
    <row r="283" s="211" customFormat="1" ht="12.75" x14ac:dyDescent="0.2"/>
    <row r="284" s="211" customFormat="1" ht="12.75" x14ac:dyDescent="0.2"/>
    <row r="285" s="211" customFormat="1" ht="12.75" x14ac:dyDescent="0.2"/>
    <row r="286" s="211" customFormat="1" ht="12.75" x14ac:dyDescent="0.2"/>
    <row r="287" s="211" customFormat="1" ht="12.75" x14ac:dyDescent="0.2"/>
    <row r="288" s="211" customFormat="1" ht="12.75" x14ac:dyDescent="0.2"/>
    <row r="289" s="211" customFormat="1" ht="12.75" x14ac:dyDescent="0.2"/>
    <row r="290" s="211" customFormat="1" ht="12.75" x14ac:dyDescent="0.2"/>
    <row r="291" s="211" customFormat="1" ht="12.75" x14ac:dyDescent="0.2"/>
    <row r="292" s="211" customFormat="1" ht="12.75" x14ac:dyDescent="0.2"/>
    <row r="293" s="211" customFormat="1" ht="12.75" x14ac:dyDescent="0.2"/>
    <row r="294" s="211" customFormat="1" ht="12.75" x14ac:dyDescent="0.2"/>
    <row r="295" s="211" customFormat="1" ht="12.75" x14ac:dyDescent="0.2"/>
    <row r="296" s="211" customFormat="1" ht="12.75" x14ac:dyDescent="0.2"/>
    <row r="297" s="211" customFormat="1" ht="12.75" x14ac:dyDescent="0.2"/>
    <row r="298" s="211" customFormat="1" ht="12.75" x14ac:dyDescent="0.2"/>
    <row r="299" s="211" customFormat="1" ht="12.75" x14ac:dyDescent="0.2"/>
    <row r="300" s="211" customFormat="1" ht="12.75" x14ac:dyDescent="0.2"/>
    <row r="301" s="211" customFormat="1" ht="12.75" x14ac:dyDescent="0.2"/>
    <row r="302" s="211" customFormat="1" ht="12.75" x14ac:dyDescent="0.2"/>
    <row r="303" s="211" customFormat="1" ht="12.75" x14ac:dyDescent="0.2"/>
    <row r="304" s="211" customFormat="1" ht="12.75" x14ac:dyDescent="0.2"/>
    <row r="305" s="211" customFormat="1" ht="12.75" x14ac:dyDescent="0.2"/>
    <row r="306" s="211" customFormat="1" ht="12.75" x14ac:dyDescent="0.2"/>
    <row r="307" s="211" customFormat="1" ht="12.75" x14ac:dyDescent="0.2"/>
    <row r="308" s="211" customFormat="1" ht="12.75" x14ac:dyDescent="0.2"/>
    <row r="309" s="211" customFormat="1" ht="12.75" x14ac:dyDescent="0.2"/>
    <row r="310" s="211" customFormat="1" ht="12.75" x14ac:dyDescent="0.2"/>
    <row r="311" s="211" customFormat="1" ht="12.75" x14ac:dyDescent="0.2"/>
    <row r="312" s="211" customFormat="1" ht="12.75" x14ac:dyDescent="0.2"/>
    <row r="313" s="211" customFormat="1" ht="12.75" x14ac:dyDescent="0.2"/>
    <row r="314" s="211" customFormat="1" ht="12.75" x14ac:dyDescent="0.2"/>
    <row r="315" s="211" customFormat="1" ht="12.75" x14ac:dyDescent="0.2"/>
    <row r="316" s="211" customFormat="1" ht="12.75" x14ac:dyDescent="0.2"/>
    <row r="317" s="211" customFormat="1" ht="12.75" x14ac:dyDescent="0.2"/>
    <row r="318" s="211" customFormat="1" ht="12.75" x14ac:dyDescent="0.2"/>
    <row r="319" s="211" customFormat="1" ht="12.75" x14ac:dyDescent="0.2"/>
    <row r="320" s="211" customFormat="1" ht="12.75" x14ac:dyDescent="0.2"/>
    <row r="321" s="211" customFormat="1" ht="12.75" x14ac:dyDescent="0.2"/>
    <row r="322" s="211" customFormat="1" ht="12.75" x14ac:dyDescent="0.2"/>
    <row r="323" s="211" customFormat="1" ht="12.75" x14ac:dyDescent="0.2"/>
    <row r="324" s="211" customFormat="1" ht="12.75" x14ac:dyDescent="0.2"/>
    <row r="325" s="211" customFormat="1" ht="12.75" x14ac:dyDescent="0.2"/>
    <row r="326" s="211" customFormat="1" ht="12.75" x14ac:dyDescent="0.2"/>
    <row r="327" s="211" customFormat="1" ht="12.75" x14ac:dyDescent="0.2"/>
    <row r="328" s="211" customFormat="1" ht="12.75" x14ac:dyDescent="0.2"/>
    <row r="329" s="211" customFormat="1" ht="12.75" x14ac:dyDescent="0.2"/>
    <row r="330" s="211" customFormat="1" ht="12.75" x14ac:dyDescent="0.2"/>
    <row r="331" s="211" customFormat="1" ht="12.75" x14ac:dyDescent="0.2"/>
    <row r="332" s="211" customFormat="1" ht="12.75" x14ac:dyDescent="0.2"/>
    <row r="333" s="211" customFormat="1" ht="12.75" x14ac:dyDescent="0.2"/>
    <row r="334" s="211" customFormat="1" ht="12.75" x14ac:dyDescent="0.2"/>
    <row r="335" s="211" customFormat="1" ht="12.75" x14ac:dyDescent="0.2"/>
    <row r="336" s="211" customFormat="1" ht="12.75" x14ac:dyDescent="0.2"/>
    <row r="337" s="211" customFormat="1" ht="12.75" x14ac:dyDescent="0.2"/>
    <row r="338" s="211" customFormat="1" ht="12.75" x14ac:dyDescent="0.2"/>
    <row r="339" s="211" customFormat="1" ht="12.75" x14ac:dyDescent="0.2"/>
    <row r="340" s="211" customFormat="1" ht="12.75" x14ac:dyDescent="0.2"/>
    <row r="341" s="211" customFormat="1" ht="12.75" x14ac:dyDescent="0.2"/>
    <row r="342" s="211" customFormat="1" ht="12.75" x14ac:dyDescent="0.2"/>
    <row r="343" s="211" customFormat="1" ht="12.75" x14ac:dyDescent="0.2"/>
    <row r="344" s="211" customFormat="1" ht="12.75" x14ac:dyDescent="0.2"/>
    <row r="345" s="211" customFormat="1" ht="12.75" x14ac:dyDescent="0.2"/>
    <row r="346" s="211" customFormat="1" ht="12.75" x14ac:dyDescent="0.2"/>
    <row r="347" s="211" customFormat="1" ht="12.75" x14ac:dyDescent="0.2"/>
    <row r="348" s="211" customFormat="1" ht="12.75" x14ac:dyDescent="0.2"/>
    <row r="349" s="211" customFormat="1" ht="12.75" x14ac:dyDescent="0.2"/>
    <row r="350" s="211" customFormat="1" ht="12.75" x14ac:dyDescent="0.2"/>
    <row r="351" s="211" customFormat="1" ht="12.75" x14ac:dyDescent="0.2"/>
    <row r="352" s="211" customFormat="1" ht="12.75" x14ac:dyDescent="0.2"/>
    <row r="353" s="211" customFormat="1" ht="12.75" x14ac:dyDescent="0.2"/>
  </sheetData>
  <sheetProtection algorithmName="SHA-512" hashValue="WIK/jeZB3DpJ/1gU6Jvtpp1y7sfmLC11eVp5BB/DZTyGgsqGQePfS5cj17h7E/X8fa1Sjfxj1lBGsptm7LchwA==" saltValue="dflQcIGsr8xC+rEA9PVW0A==" spinCount="100000" sheet="1" objects="1" scenarios="1"/>
  <pageMargins left="0.35" right="0.2" top="0.35" bottom="0.3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8549-3D38-4942-ACAF-ED47008049A0}">
  <dimension ref="A1:X158"/>
  <sheetViews>
    <sheetView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8.85546875" defaultRowHeight="12.75" x14ac:dyDescent="0.2"/>
  <cols>
    <col min="1" max="1" width="23.42578125" style="232" customWidth="1"/>
    <col min="2" max="2" width="7.28515625" style="232" bestFit="1" customWidth="1"/>
    <col min="3" max="4" width="14.5703125" style="232" bestFit="1" customWidth="1"/>
    <col min="5" max="6" width="12" style="232" bestFit="1" customWidth="1"/>
    <col min="7" max="7" width="14.5703125" style="232" bestFit="1" customWidth="1"/>
    <col min="8" max="8" width="13.5703125" style="232" bestFit="1" customWidth="1"/>
    <col min="9" max="10" width="10" style="232" bestFit="1" customWidth="1"/>
    <col min="11" max="11" width="7.140625" style="232" bestFit="1" customWidth="1"/>
    <col min="12" max="12" width="9.7109375" style="232" bestFit="1" customWidth="1"/>
    <col min="13" max="13" width="12" style="232" bestFit="1" customWidth="1"/>
    <col min="14" max="14" width="9.85546875" style="232" bestFit="1" customWidth="1"/>
    <col min="15" max="15" width="12" style="232" bestFit="1" customWidth="1"/>
    <col min="16" max="16" width="7.5703125" style="232" bestFit="1" customWidth="1"/>
    <col min="17" max="17" width="8.85546875" style="232" bestFit="1" customWidth="1"/>
    <col min="18" max="18" width="11" style="232" bestFit="1" customWidth="1"/>
    <col min="19" max="19" width="9.85546875" style="232" bestFit="1" customWidth="1"/>
    <col min="20" max="20" width="14.5703125" style="232" bestFit="1" customWidth="1"/>
    <col min="21" max="21" width="15.5703125" style="232" bestFit="1" customWidth="1"/>
    <col min="22" max="22" width="14.5703125" style="232" bestFit="1" customWidth="1"/>
    <col min="23" max="23" width="15.5703125" style="232" bestFit="1" customWidth="1"/>
    <col min="24" max="24" width="12" style="232" bestFit="1" customWidth="1"/>
    <col min="25" max="16384" width="8.85546875" style="232"/>
  </cols>
  <sheetData>
    <row r="1" spans="1:24" s="249" customFormat="1" ht="18.75" x14ac:dyDescent="0.3">
      <c r="A1" s="245" t="s">
        <v>457</v>
      </c>
      <c r="B1" s="246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8"/>
      <c r="U1" s="248"/>
      <c r="V1" s="248"/>
      <c r="W1" s="248"/>
      <c r="X1" s="248"/>
    </row>
    <row r="2" spans="1:24" s="251" customFormat="1" x14ac:dyDescent="0.2">
      <c r="A2" s="250" t="s">
        <v>458</v>
      </c>
      <c r="B2" s="246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50"/>
      <c r="U2" s="250"/>
      <c r="V2" s="250"/>
      <c r="W2" s="250"/>
      <c r="X2" s="250"/>
    </row>
    <row r="3" spans="1:24" s="251" customFormat="1" x14ac:dyDescent="0.2">
      <c r="A3" s="252"/>
      <c r="B3" s="253"/>
      <c r="C3" s="254" t="s">
        <v>313</v>
      </c>
      <c r="D3" s="254" t="s">
        <v>313</v>
      </c>
      <c r="E3" s="254" t="s">
        <v>313</v>
      </c>
      <c r="F3" s="254" t="s">
        <v>313</v>
      </c>
      <c r="G3" s="254" t="s">
        <v>313</v>
      </c>
      <c r="H3" s="254" t="s">
        <v>313</v>
      </c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0"/>
      <c r="U3" s="250"/>
      <c r="V3" s="250"/>
      <c r="W3" s="250"/>
      <c r="X3" s="250"/>
    </row>
    <row r="4" spans="1:24" s="251" customFormat="1" x14ac:dyDescent="0.2">
      <c r="A4" s="255"/>
      <c r="B4" s="253"/>
      <c r="C4" s="256" t="s">
        <v>314</v>
      </c>
      <c r="D4" s="257" t="s">
        <v>314</v>
      </c>
      <c r="E4" s="254"/>
      <c r="F4" s="254"/>
      <c r="G4" s="258" t="s">
        <v>314</v>
      </c>
      <c r="H4" s="258" t="s">
        <v>314</v>
      </c>
      <c r="I4" s="256" t="s">
        <v>314</v>
      </c>
      <c r="J4" s="257" t="s">
        <v>314</v>
      </c>
      <c r="K4" s="254"/>
      <c r="L4" s="254"/>
      <c r="M4" s="258" t="s">
        <v>314</v>
      </c>
      <c r="N4" s="256" t="s">
        <v>314</v>
      </c>
      <c r="O4" s="257" t="s">
        <v>314</v>
      </c>
      <c r="P4" s="254"/>
      <c r="Q4" s="254"/>
      <c r="R4" s="258" t="s">
        <v>314</v>
      </c>
      <c r="S4" s="258" t="s">
        <v>314</v>
      </c>
      <c r="T4" s="250"/>
      <c r="U4" s="250"/>
      <c r="V4" s="250"/>
      <c r="W4" s="250"/>
      <c r="X4" s="250"/>
    </row>
    <row r="5" spans="1:24" s="251" customFormat="1" ht="38.25" x14ac:dyDescent="0.2">
      <c r="A5" s="259" t="s">
        <v>140</v>
      </c>
      <c r="B5" s="260" t="s">
        <v>366</v>
      </c>
      <c r="C5" s="261" t="s">
        <v>385</v>
      </c>
      <c r="D5" s="261" t="s">
        <v>386</v>
      </c>
      <c r="E5" s="261" t="s">
        <v>387</v>
      </c>
      <c r="F5" s="261" t="s">
        <v>367</v>
      </c>
      <c r="G5" s="261" t="s">
        <v>368</v>
      </c>
      <c r="H5" s="261" t="s">
        <v>369</v>
      </c>
      <c r="I5" s="261" t="s">
        <v>315</v>
      </c>
      <c r="J5" s="261" t="s">
        <v>316</v>
      </c>
      <c r="K5" s="261" t="s">
        <v>317</v>
      </c>
      <c r="L5" s="261" t="s">
        <v>318</v>
      </c>
      <c r="M5" s="261" t="s">
        <v>319</v>
      </c>
      <c r="N5" s="261" t="s">
        <v>320</v>
      </c>
      <c r="O5" s="261" t="s">
        <v>321</v>
      </c>
      <c r="P5" s="261" t="s">
        <v>322</v>
      </c>
      <c r="Q5" s="261" t="s">
        <v>388</v>
      </c>
      <c r="R5" s="261" t="s">
        <v>323</v>
      </c>
      <c r="S5" s="261" t="s">
        <v>9</v>
      </c>
      <c r="T5" s="262" t="s">
        <v>324</v>
      </c>
      <c r="U5" s="263" t="s">
        <v>325</v>
      </c>
      <c r="V5" s="264" t="s">
        <v>326</v>
      </c>
      <c r="W5" s="261" t="s">
        <v>459</v>
      </c>
      <c r="X5" s="261" t="s">
        <v>327</v>
      </c>
    </row>
    <row r="6" spans="1:24" s="233" customFormat="1" x14ac:dyDescent="0.2">
      <c r="A6" s="265" t="s">
        <v>421</v>
      </c>
      <c r="B6" s="265" t="s">
        <v>460</v>
      </c>
      <c r="C6" s="266" t="s">
        <v>422</v>
      </c>
      <c r="D6" s="266" t="s">
        <v>423</v>
      </c>
      <c r="E6" s="266" t="s">
        <v>424</v>
      </c>
      <c r="F6" s="266" t="s">
        <v>425</v>
      </c>
      <c r="G6" s="266" t="s">
        <v>426</v>
      </c>
      <c r="H6" s="266" t="s">
        <v>427</v>
      </c>
      <c r="I6" s="266" t="s">
        <v>315</v>
      </c>
      <c r="J6" s="266" t="s">
        <v>316</v>
      </c>
      <c r="K6" s="266" t="s">
        <v>317</v>
      </c>
      <c r="L6" s="266" t="s">
        <v>318</v>
      </c>
      <c r="M6" s="266" t="s">
        <v>319</v>
      </c>
      <c r="N6" s="266" t="s">
        <v>320</v>
      </c>
      <c r="O6" s="266" t="s">
        <v>321</v>
      </c>
      <c r="P6" s="266" t="s">
        <v>322</v>
      </c>
      <c r="Q6" s="266" t="s">
        <v>428</v>
      </c>
      <c r="R6" s="266" t="s">
        <v>323</v>
      </c>
      <c r="S6" s="266" t="s">
        <v>9</v>
      </c>
    </row>
    <row r="7" spans="1:24" x14ac:dyDescent="0.2">
      <c r="A7" s="267" t="s">
        <v>103</v>
      </c>
      <c r="B7" s="268">
        <v>1001</v>
      </c>
      <c r="C7" s="269">
        <v>334693959</v>
      </c>
      <c r="D7" s="269">
        <v>60597468</v>
      </c>
      <c r="E7" s="269">
        <v>823361</v>
      </c>
      <c r="F7" s="269">
        <v>3017764</v>
      </c>
      <c r="G7" s="269">
        <v>43690298</v>
      </c>
      <c r="H7" s="269">
        <v>531603</v>
      </c>
      <c r="I7" s="269">
        <v>0</v>
      </c>
      <c r="J7" s="269">
        <v>0</v>
      </c>
      <c r="K7" s="270"/>
      <c r="L7" s="270"/>
      <c r="M7" s="269">
        <v>0</v>
      </c>
      <c r="N7" s="269">
        <v>0</v>
      </c>
      <c r="O7" s="269">
        <v>0</v>
      </c>
      <c r="P7" s="269">
        <v>0</v>
      </c>
      <c r="Q7" s="269">
        <v>0</v>
      </c>
      <c r="R7" s="269">
        <v>0</v>
      </c>
      <c r="S7" s="269">
        <v>0</v>
      </c>
      <c r="T7" s="271">
        <f>C7+I7+N7</f>
        <v>334693959</v>
      </c>
      <c r="U7" s="271">
        <f>D7+J7+O7</f>
        <v>60597468</v>
      </c>
      <c r="V7" s="271">
        <f>G7+H7+M7+R7+S7</f>
        <v>44221901</v>
      </c>
      <c r="W7" s="271">
        <f t="shared" ref="W7:W69" si="0">SUM(T7:V7)</f>
        <v>439513328</v>
      </c>
      <c r="X7" s="271">
        <f t="shared" ref="X7:X70" si="1">ROUND(((T7*1.125)/1000+(U7*2.518)/1000+(V7*5.211)/1000)/2,0)</f>
        <v>379778</v>
      </c>
    </row>
    <row r="8" spans="1:24" x14ac:dyDescent="0.2">
      <c r="A8" s="267" t="s">
        <v>131</v>
      </c>
      <c r="B8" s="268">
        <v>1003</v>
      </c>
      <c r="C8" s="269">
        <v>273719250</v>
      </c>
      <c r="D8" s="269">
        <v>32557002</v>
      </c>
      <c r="E8" s="269">
        <v>426458</v>
      </c>
      <c r="F8" s="269">
        <v>1812204</v>
      </c>
      <c r="G8" s="269">
        <v>17336216</v>
      </c>
      <c r="H8" s="269">
        <v>1321216</v>
      </c>
      <c r="I8" s="269">
        <v>0</v>
      </c>
      <c r="J8" s="269">
        <v>0</v>
      </c>
      <c r="K8" s="270"/>
      <c r="L8" s="270"/>
      <c r="M8" s="269">
        <v>0</v>
      </c>
      <c r="N8" s="269">
        <v>0</v>
      </c>
      <c r="O8" s="269">
        <v>0</v>
      </c>
      <c r="P8" s="269">
        <v>0</v>
      </c>
      <c r="Q8" s="269">
        <v>0</v>
      </c>
      <c r="R8" s="269">
        <v>0</v>
      </c>
      <c r="S8" s="269">
        <v>0</v>
      </c>
      <c r="T8" s="271">
        <f t="shared" ref="T8:U71" si="2">C8+I8+N8</f>
        <v>273719250</v>
      </c>
      <c r="U8" s="271">
        <f t="shared" si="2"/>
        <v>32557002</v>
      </c>
      <c r="V8" s="271">
        <f t="shared" ref="V8:V71" si="3">G8+H8+M8+R8+S8</f>
        <v>18657432</v>
      </c>
      <c r="W8" s="271">
        <f t="shared" si="0"/>
        <v>324933684</v>
      </c>
      <c r="X8" s="271">
        <f t="shared" si="1"/>
        <v>243568</v>
      </c>
    </row>
    <row r="9" spans="1:24" x14ac:dyDescent="0.2">
      <c r="A9" s="267" t="s">
        <v>73</v>
      </c>
      <c r="B9" s="268">
        <v>2002</v>
      </c>
      <c r="C9" s="269">
        <v>520510592</v>
      </c>
      <c r="D9" s="269">
        <v>732506482</v>
      </c>
      <c r="E9" s="269">
        <v>4809325</v>
      </c>
      <c r="F9" s="269">
        <v>8146884</v>
      </c>
      <c r="G9" s="269">
        <v>368356129</v>
      </c>
      <c r="H9" s="269">
        <v>62833607</v>
      </c>
      <c r="I9" s="269">
        <v>1</v>
      </c>
      <c r="J9" s="269">
        <v>1</v>
      </c>
      <c r="K9" s="270"/>
      <c r="L9" s="270"/>
      <c r="M9" s="269">
        <v>0</v>
      </c>
      <c r="N9" s="269">
        <v>0</v>
      </c>
      <c r="O9" s="269">
        <v>0</v>
      </c>
      <c r="P9" s="269">
        <v>0</v>
      </c>
      <c r="Q9" s="269">
        <v>0</v>
      </c>
      <c r="R9" s="269">
        <v>0</v>
      </c>
      <c r="S9" s="269">
        <v>0</v>
      </c>
      <c r="T9" s="271">
        <f t="shared" si="2"/>
        <v>520510593</v>
      </c>
      <c r="U9" s="271">
        <f t="shared" si="2"/>
        <v>732506483</v>
      </c>
      <c r="V9" s="271">
        <f t="shared" si="3"/>
        <v>431189736</v>
      </c>
      <c r="W9" s="271">
        <f t="shared" si="0"/>
        <v>1684206812</v>
      </c>
      <c r="X9" s="271">
        <f t="shared" si="1"/>
        <v>2338478</v>
      </c>
    </row>
    <row r="10" spans="1:24" x14ac:dyDescent="0.2">
      <c r="A10" s="267" t="s">
        <v>75</v>
      </c>
      <c r="B10" s="268">
        <v>2003</v>
      </c>
      <c r="C10" s="269">
        <v>456650253</v>
      </c>
      <c r="D10" s="269">
        <v>48372422</v>
      </c>
      <c r="E10" s="269">
        <v>447475</v>
      </c>
      <c r="F10" s="269">
        <v>1842332</v>
      </c>
      <c r="G10" s="269">
        <v>16329848</v>
      </c>
      <c r="H10" s="269">
        <v>58814545</v>
      </c>
      <c r="I10" s="269">
        <v>2</v>
      </c>
      <c r="J10" s="269">
        <v>0</v>
      </c>
      <c r="K10" s="270"/>
      <c r="L10" s="270"/>
      <c r="M10" s="269">
        <v>0</v>
      </c>
      <c r="N10" s="269">
        <v>0</v>
      </c>
      <c r="O10" s="269">
        <v>0</v>
      </c>
      <c r="P10" s="269">
        <v>0</v>
      </c>
      <c r="Q10" s="269">
        <v>0</v>
      </c>
      <c r="R10" s="269">
        <v>0</v>
      </c>
      <c r="S10" s="269">
        <v>0</v>
      </c>
      <c r="T10" s="271">
        <f t="shared" si="2"/>
        <v>456650255</v>
      </c>
      <c r="U10" s="271">
        <f t="shared" si="2"/>
        <v>48372422</v>
      </c>
      <c r="V10" s="271">
        <f t="shared" si="3"/>
        <v>75144393</v>
      </c>
      <c r="W10" s="271">
        <f t="shared" si="0"/>
        <v>580167070</v>
      </c>
      <c r="X10" s="271">
        <f t="shared" si="1"/>
        <v>513555</v>
      </c>
    </row>
    <row r="11" spans="1:24" x14ac:dyDescent="0.2">
      <c r="A11" s="267" t="s">
        <v>429</v>
      </c>
      <c r="B11" s="268">
        <v>2006</v>
      </c>
      <c r="C11" s="269">
        <v>463244267</v>
      </c>
      <c r="D11" s="269">
        <v>68961446</v>
      </c>
      <c r="E11" s="269">
        <v>644511</v>
      </c>
      <c r="F11" s="269">
        <v>3355733</v>
      </c>
      <c r="G11" s="269">
        <v>30774766</v>
      </c>
      <c r="H11" s="269">
        <v>10346766</v>
      </c>
      <c r="I11" s="269">
        <v>1</v>
      </c>
      <c r="J11" s="269">
        <v>1</v>
      </c>
      <c r="K11" s="270"/>
      <c r="L11" s="270"/>
      <c r="M11" s="269">
        <v>1</v>
      </c>
      <c r="N11" s="269">
        <v>0</v>
      </c>
      <c r="O11" s="269">
        <v>0</v>
      </c>
      <c r="P11" s="269">
        <v>0</v>
      </c>
      <c r="Q11" s="269">
        <v>0</v>
      </c>
      <c r="R11" s="269">
        <v>0</v>
      </c>
      <c r="S11" s="269">
        <v>0</v>
      </c>
      <c r="T11" s="271">
        <f t="shared" si="2"/>
        <v>463244268</v>
      </c>
      <c r="U11" s="271">
        <f t="shared" si="2"/>
        <v>68961447</v>
      </c>
      <c r="V11" s="271">
        <f t="shared" si="3"/>
        <v>41121533</v>
      </c>
      <c r="W11" s="271">
        <f t="shared" si="0"/>
        <v>573327248</v>
      </c>
      <c r="X11" s="271">
        <f t="shared" si="1"/>
        <v>454540</v>
      </c>
    </row>
    <row r="12" spans="1:24" x14ac:dyDescent="0.2">
      <c r="A12" s="267" t="s">
        <v>17</v>
      </c>
      <c r="B12" s="268">
        <v>3001</v>
      </c>
      <c r="C12" s="269">
        <v>250996788</v>
      </c>
      <c r="D12" s="269">
        <v>45312744</v>
      </c>
      <c r="E12" s="269">
        <v>677481</v>
      </c>
      <c r="F12" s="269">
        <v>4420808</v>
      </c>
      <c r="G12" s="269">
        <v>28815681</v>
      </c>
      <c r="H12" s="269">
        <v>0</v>
      </c>
      <c r="I12" s="269">
        <v>0</v>
      </c>
      <c r="J12" s="269">
        <v>0</v>
      </c>
      <c r="K12" s="270"/>
      <c r="L12" s="270"/>
      <c r="M12" s="269">
        <v>0</v>
      </c>
      <c r="N12" s="269">
        <v>0</v>
      </c>
      <c r="O12" s="269">
        <v>0</v>
      </c>
      <c r="P12" s="269">
        <v>0</v>
      </c>
      <c r="Q12" s="269">
        <v>0</v>
      </c>
      <c r="R12" s="269">
        <v>0</v>
      </c>
      <c r="S12" s="269">
        <v>0</v>
      </c>
      <c r="T12" s="271">
        <f t="shared" si="2"/>
        <v>250996788</v>
      </c>
      <c r="U12" s="271">
        <f t="shared" si="2"/>
        <v>45312744</v>
      </c>
      <c r="V12" s="271">
        <f t="shared" si="3"/>
        <v>28815681</v>
      </c>
      <c r="W12" s="271">
        <f t="shared" si="0"/>
        <v>325125213</v>
      </c>
      <c r="X12" s="271">
        <f t="shared" si="1"/>
        <v>273314</v>
      </c>
    </row>
    <row r="13" spans="1:24" x14ac:dyDescent="0.2">
      <c r="A13" s="267" t="s">
        <v>14</v>
      </c>
      <c r="B13" s="268">
        <v>4001</v>
      </c>
      <c r="C13" s="269">
        <v>202400470</v>
      </c>
      <c r="D13" s="269">
        <v>44772943</v>
      </c>
      <c r="E13" s="269">
        <v>121164</v>
      </c>
      <c r="F13" s="269">
        <v>841626</v>
      </c>
      <c r="G13" s="269">
        <v>19376487</v>
      </c>
      <c r="H13" s="269">
        <v>1014152</v>
      </c>
      <c r="I13" s="269">
        <v>3</v>
      </c>
      <c r="J13" s="269">
        <v>0</v>
      </c>
      <c r="K13" s="270"/>
      <c r="L13" s="270"/>
      <c r="M13" s="269">
        <v>0</v>
      </c>
      <c r="N13" s="269">
        <v>0</v>
      </c>
      <c r="O13" s="269">
        <v>0</v>
      </c>
      <c r="P13" s="269">
        <v>0</v>
      </c>
      <c r="Q13" s="269">
        <v>0</v>
      </c>
      <c r="R13" s="269">
        <v>0</v>
      </c>
      <c r="S13" s="269">
        <v>0</v>
      </c>
      <c r="T13" s="271">
        <f t="shared" si="2"/>
        <v>202400473</v>
      </c>
      <c r="U13" s="271">
        <f t="shared" si="2"/>
        <v>44772943</v>
      </c>
      <c r="V13" s="271">
        <f t="shared" si="3"/>
        <v>20390639</v>
      </c>
      <c r="W13" s="271">
        <f t="shared" si="0"/>
        <v>267564055</v>
      </c>
      <c r="X13" s="271">
        <f t="shared" si="1"/>
        <v>223347</v>
      </c>
    </row>
    <row r="14" spans="1:24" x14ac:dyDescent="0.2">
      <c r="A14" s="267" t="s">
        <v>20</v>
      </c>
      <c r="B14" s="268">
        <v>4002</v>
      </c>
      <c r="C14" s="269">
        <v>366091181</v>
      </c>
      <c r="D14" s="269">
        <v>157705530</v>
      </c>
      <c r="E14" s="269">
        <v>1078776</v>
      </c>
      <c r="F14" s="269">
        <v>3518565</v>
      </c>
      <c r="G14" s="269">
        <v>79334812</v>
      </c>
      <c r="H14" s="269">
        <v>1349414</v>
      </c>
      <c r="I14" s="269">
        <v>2</v>
      </c>
      <c r="J14" s="269">
        <v>0</v>
      </c>
      <c r="K14" s="270"/>
      <c r="L14" s="270"/>
      <c r="M14" s="269">
        <v>0</v>
      </c>
      <c r="N14" s="269">
        <v>0</v>
      </c>
      <c r="O14" s="269">
        <v>0</v>
      </c>
      <c r="P14" s="269">
        <v>0</v>
      </c>
      <c r="Q14" s="269">
        <v>0</v>
      </c>
      <c r="R14" s="269">
        <v>0</v>
      </c>
      <c r="S14" s="269">
        <v>0</v>
      </c>
      <c r="T14" s="271">
        <f t="shared" si="2"/>
        <v>366091183</v>
      </c>
      <c r="U14" s="271">
        <f t="shared" si="2"/>
        <v>157705530</v>
      </c>
      <c r="V14" s="271">
        <f t="shared" si="3"/>
        <v>80684226</v>
      </c>
      <c r="W14" s="271">
        <f t="shared" si="0"/>
        <v>604480939</v>
      </c>
      <c r="X14" s="271">
        <f t="shared" si="1"/>
        <v>614700</v>
      </c>
    </row>
    <row r="15" spans="1:24" x14ac:dyDescent="0.2">
      <c r="A15" s="267" t="s">
        <v>108</v>
      </c>
      <c r="B15" s="268">
        <v>4003</v>
      </c>
      <c r="C15" s="269">
        <v>346700463</v>
      </c>
      <c r="D15" s="269">
        <v>70027991</v>
      </c>
      <c r="E15" s="269">
        <v>252206</v>
      </c>
      <c r="F15" s="269">
        <v>2405282</v>
      </c>
      <c r="G15" s="269">
        <v>37869878</v>
      </c>
      <c r="H15" s="269">
        <v>4109871</v>
      </c>
      <c r="I15" s="269">
        <v>2</v>
      </c>
      <c r="J15" s="269">
        <v>0</v>
      </c>
      <c r="K15" s="270"/>
      <c r="L15" s="270"/>
      <c r="M15" s="269">
        <v>0</v>
      </c>
      <c r="N15" s="269">
        <v>0</v>
      </c>
      <c r="O15" s="269">
        <v>0</v>
      </c>
      <c r="P15" s="269">
        <v>0</v>
      </c>
      <c r="Q15" s="269">
        <v>0</v>
      </c>
      <c r="R15" s="269">
        <v>0</v>
      </c>
      <c r="S15" s="269">
        <v>0</v>
      </c>
      <c r="T15" s="271">
        <f t="shared" si="2"/>
        <v>346700465</v>
      </c>
      <c r="U15" s="271">
        <f t="shared" si="2"/>
        <v>70027991</v>
      </c>
      <c r="V15" s="271">
        <f t="shared" si="3"/>
        <v>41979749</v>
      </c>
      <c r="W15" s="271">
        <f t="shared" si="0"/>
        <v>458708205</v>
      </c>
      <c r="X15" s="271">
        <f t="shared" si="1"/>
        <v>392562</v>
      </c>
    </row>
    <row r="16" spans="1:24" x14ac:dyDescent="0.2">
      <c r="A16" s="267" t="s">
        <v>25</v>
      </c>
      <c r="B16" s="268">
        <v>5001</v>
      </c>
      <c r="C16" s="269">
        <v>252510658</v>
      </c>
      <c r="D16" s="269">
        <v>1417954734</v>
      </c>
      <c r="E16" s="269">
        <v>7158380</v>
      </c>
      <c r="F16" s="269">
        <v>15711746</v>
      </c>
      <c r="G16" s="269">
        <v>932682725</v>
      </c>
      <c r="H16" s="269">
        <v>13331624</v>
      </c>
      <c r="I16" s="269">
        <v>0</v>
      </c>
      <c r="J16" s="269">
        <v>0</v>
      </c>
      <c r="K16" s="270"/>
      <c r="L16" s="270"/>
      <c r="M16" s="269">
        <v>1693656</v>
      </c>
      <c r="N16" s="269">
        <v>0</v>
      </c>
      <c r="O16" s="269">
        <v>0</v>
      </c>
      <c r="P16" s="269">
        <v>0</v>
      </c>
      <c r="Q16" s="269">
        <v>0</v>
      </c>
      <c r="R16" s="269">
        <v>0</v>
      </c>
      <c r="S16" s="269">
        <v>0</v>
      </c>
      <c r="T16" s="271">
        <f t="shared" si="2"/>
        <v>252510658</v>
      </c>
      <c r="U16" s="271">
        <f t="shared" si="2"/>
        <v>1417954734</v>
      </c>
      <c r="V16" s="271">
        <f t="shared" si="3"/>
        <v>947708005</v>
      </c>
      <c r="W16" s="271">
        <f t="shared" si="0"/>
        <v>2618173397</v>
      </c>
      <c r="X16" s="271">
        <f t="shared" si="1"/>
        <v>4396495</v>
      </c>
    </row>
    <row r="17" spans="1:24" x14ac:dyDescent="0.2">
      <c r="A17" s="267" t="s">
        <v>48</v>
      </c>
      <c r="B17" s="268">
        <v>5003</v>
      </c>
      <c r="C17" s="269">
        <v>259799513</v>
      </c>
      <c r="D17" s="269">
        <v>76828629</v>
      </c>
      <c r="E17" s="269">
        <v>253405</v>
      </c>
      <c r="F17" s="269">
        <v>1447500</v>
      </c>
      <c r="G17" s="269">
        <v>27864013</v>
      </c>
      <c r="H17" s="269">
        <v>147729569</v>
      </c>
      <c r="I17" s="269">
        <v>0</v>
      </c>
      <c r="J17" s="269">
        <v>0</v>
      </c>
      <c r="K17" s="270"/>
      <c r="L17" s="270"/>
      <c r="M17" s="269">
        <v>0</v>
      </c>
      <c r="N17" s="269">
        <v>0</v>
      </c>
      <c r="O17" s="269">
        <v>2241800</v>
      </c>
      <c r="P17" s="269">
        <v>0</v>
      </c>
      <c r="Q17" s="269">
        <v>0</v>
      </c>
      <c r="R17" s="269">
        <v>2040830</v>
      </c>
      <c r="S17" s="269">
        <v>0</v>
      </c>
      <c r="T17" s="271">
        <f t="shared" si="2"/>
        <v>259799513</v>
      </c>
      <c r="U17" s="271">
        <f t="shared" si="2"/>
        <v>79070429</v>
      </c>
      <c r="V17" s="271">
        <f t="shared" si="3"/>
        <v>177634412</v>
      </c>
      <c r="W17" s="271">
        <f t="shared" si="0"/>
        <v>516504354</v>
      </c>
      <c r="X17" s="271">
        <f t="shared" si="1"/>
        <v>708513</v>
      </c>
    </row>
    <row r="18" spans="1:24" x14ac:dyDescent="0.2">
      <c r="A18" s="267" t="s">
        <v>111</v>
      </c>
      <c r="B18" s="268">
        <v>5005</v>
      </c>
      <c r="C18" s="269">
        <v>261515777</v>
      </c>
      <c r="D18" s="269">
        <v>213463340</v>
      </c>
      <c r="E18" s="269">
        <v>1400100</v>
      </c>
      <c r="F18" s="269">
        <v>2554910</v>
      </c>
      <c r="G18" s="269">
        <v>92355017</v>
      </c>
      <c r="H18" s="269">
        <v>2813268</v>
      </c>
      <c r="I18" s="269">
        <v>0</v>
      </c>
      <c r="J18" s="269">
        <v>0</v>
      </c>
      <c r="K18" s="270"/>
      <c r="L18" s="270"/>
      <c r="M18" s="269">
        <v>131087</v>
      </c>
      <c r="N18" s="269">
        <v>0</v>
      </c>
      <c r="O18" s="269">
        <v>21991375</v>
      </c>
      <c r="P18" s="269">
        <v>0</v>
      </c>
      <c r="Q18" s="269">
        <v>0</v>
      </c>
      <c r="R18" s="269">
        <v>3580800</v>
      </c>
      <c r="S18" s="269">
        <v>0</v>
      </c>
      <c r="T18" s="271">
        <f t="shared" si="2"/>
        <v>261515777</v>
      </c>
      <c r="U18" s="271">
        <f t="shared" si="2"/>
        <v>235454715</v>
      </c>
      <c r="V18" s="271">
        <f t="shared" si="3"/>
        <v>98880172</v>
      </c>
      <c r="W18" s="271">
        <f t="shared" si="0"/>
        <v>595850664</v>
      </c>
      <c r="X18" s="271">
        <f t="shared" si="1"/>
        <v>701172</v>
      </c>
    </row>
    <row r="19" spans="1:24" x14ac:dyDescent="0.2">
      <c r="A19" s="267" t="s">
        <v>38</v>
      </c>
      <c r="B19" s="268">
        <v>5006</v>
      </c>
      <c r="C19" s="269">
        <v>345241858</v>
      </c>
      <c r="D19" s="269">
        <v>127694351</v>
      </c>
      <c r="E19" s="269">
        <v>1109484</v>
      </c>
      <c r="F19" s="269">
        <v>2058612</v>
      </c>
      <c r="G19" s="269">
        <v>52822012</v>
      </c>
      <c r="H19" s="269">
        <v>60795866</v>
      </c>
      <c r="I19" s="269">
        <v>0</v>
      </c>
      <c r="J19" s="269">
        <v>0</v>
      </c>
      <c r="K19" s="270"/>
      <c r="L19" s="270"/>
      <c r="M19" s="269">
        <v>0</v>
      </c>
      <c r="N19" s="269">
        <v>0</v>
      </c>
      <c r="O19" s="269">
        <v>0</v>
      </c>
      <c r="P19" s="269">
        <v>0</v>
      </c>
      <c r="Q19" s="269">
        <v>0</v>
      </c>
      <c r="R19" s="269">
        <v>0</v>
      </c>
      <c r="S19" s="269">
        <v>0</v>
      </c>
      <c r="T19" s="271">
        <f t="shared" si="2"/>
        <v>345241858</v>
      </c>
      <c r="U19" s="271">
        <f t="shared" si="2"/>
        <v>127694351</v>
      </c>
      <c r="V19" s="271">
        <f t="shared" si="3"/>
        <v>113617878</v>
      </c>
      <c r="W19" s="271">
        <f t="shared" si="0"/>
        <v>586554087</v>
      </c>
      <c r="X19" s="271">
        <f t="shared" si="1"/>
        <v>650997</v>
      </c>
    </row>
    <row r="20" spans="1:24" x14ac:dyDescent="0.2">
      <c r="A20" s="267" t="s">
        <v>10</v>
      </c>
      <c r="B20" s="268">
        <v>6001</v>
      </c>
      <c r="C20" s="269">
        <v>446784738</v>
      </c>
      <c r="D20" s="269">
        <v>1931799057</v>
      </c>
      <c r="E20" s="269">
        <v>3678761</v>
      </c>
      <c r="F20" s="269">
        <v>11162464</v>
      </c>
      <c r="G20" s="269">
        <v>987188624</v>
      </c>
      <c r="H20" s="269">
        <v>81374426</v>
      </c>
      <c r="I20" s="269">
        <v>0</v>
      </c>
      <c r="J20" s="269">
        <v>0</v>
      </c>
      <c r="K20" s="270"/>
      <c r="L20" s="270"/>
      <c r="M20" s="269">
        <v>21863966</v>
      </c>
      <c r="N20" s="269">
        <v>0</v>
      </c>
      <c r="O20" s="269">
        <v>110358012</v>
      </c>
      <c r="P20" s="269">
        <v>0</v>
      </c>
      <c r="Q20" s="269">
        <v>0</v>
      </c>
      <c r="R20" s="269">
        <v>26567402</v>
      </c>
      <c r="S20" s="269">
        <v>0</v>
      </c>
      <c r="T20" s="271">
        <f t="shared" si="2"/>
        <v>446784738</v>
      </c>
      <c r="U20" s="271">
        <f t="shared" si="2"/>
        <v>2042157069</v>
      </c>
      <c r="V20" s="271">
        <f t="shared" si="3"/>
        <v>1116994418</v>
      </c>
      <c r="W20" s="271">
        <f t="shared" si="0"/>
        <v>3605936225</v>
      </c>
      <c r="X20" s="271">
        <f t="shared" si="1"/>
        <v>5732721</v>
      </c>
    </row>
    <row r="21" spans="1:24" x14ac:dyDescent="0.2">
      <c r="A21" s="267" t="s">
        <v>55</v>
      </c>
      <c r="B21" s="268">
        <v>6002</v>
      </c>
      <c r="C21" s="269">
        <v>371281342</v>
      </c>
      <c r="D21" s="269">
        <v>42088593</v>
      </c>
      <c r="E21" s="269">
        <v>284046</v>
      </c>
      <c r="F21" s="269">
        <v>1032975</v>
      </c>
      <c r="G21" s="269">
        <v>19590333</v>
      </c>
      <c r="H21" s="269">
        <v>9647762</v>
      </c>
      <c r="I21" s="269">
        <v>2</v>
      </c>
      <c r="J21" s="269">
        <v>0</v>
      </c>
      <c r="K21" s="270"/>
      <c r="L21" s="270"/>
      <c r="M21" s="269">
        <v>1</v>
      </c>
      <c r="N21" s="269">
        <v>0</v>
      </c>
      <c r="O21" s="269">
        <v>0</v>
      </c>
      <c r="P21" s="269">
        <v>0</v>
      </c>
      <c r="Q21" s="269">
        <v>0</v>
      </c>
      <c r="R21" s="269">
        <v>0</v>
      </c>
      <c r="S21" s="269">
        <v>0</v>
      </c>
      <c r="T21" s="271">
        <f t="shared" si="2"/>
        <v>371281344</v>
      </c>
      <c r="U21" s="271">
        <f t="shared" si="2"/>
        <v>42088593</v>
      </c>
      <c r="V21" s="271">
        <f t="shared" si="3"/>
        <v>29238096</v>
      </c>
      <c r="W21" s="271">
        <f t="shared" si="0"/>
        <v>442608033</v>
      </c>
      <c r="X21" s="271">
        <f t="shared" si="1"/>
        <v>338015</v>
      </c>
    </row>
    <row r="22" spans="1:24" x14ac:dyDescent="0.2">
      <c r="A22" s="267" t="s">
        <v>124</v>
      </c>
      <c r="B22" s="268">
        <v>6005</v>
      </c>
      <c r="C22" s="269">
        <v>248480876</v>
      </c>
      <c r="D22" s="269">
        <v>79372766</v>
      </c>
      <c r="E22" s="269">
        <v>332501</v>
      </c>
      <c r="F22" s="269">
        <v>693308</v>
      </c>
      <c r="G22" s="269">
        <v>13123162</v>
      </c>
      <c r="H22" s="269">
        <v>6314364</v>
      </c>
      <c r="I22" s="269">
        <v>0</v>
      </c>
      <c r="J22" s="269">
        <v>0</v>
      </c>
      <c r="K22" s="270"/>
      <c r="L22" s="270"/>
      <c r="M22" s="269">
        <v>1</v>
      </c>
      <c r="N22" s="269">
        <v>0</v>
      </c>
      <c r="O22" s="269">
        <v>0</v>
      </c>
      <c r="P22" s="269">
        <v>0</v>
      </c>
      <c r="Q22" s="269">
        <v>0</v>
      </c>
      <c r="R22" s="269">
        <v>0</v>
      </c>
      <c r="S22" s="269">
        <v>0</v>
      </c>
      <c r="T22" s="271">
        <f t="shared" si="2"/>
        <v>248480876</v>
      </c>
      <c r="U22" s="271">
        <f t="shared" si="2"/>
        <v>79372766</v>
      </c>
      <c r="V22" s="271">
        <f t="shared" si="3"/>
        <v>19437527</v>
      </c>
      <c r="W22" s="271">
        <f t="shared" si="0"/>
        <v>347291169</v>
      </c>
      <c r="X22" s="271">
        <f t="shared" si="1"/>
        <v>290345</v>
      </c>
    </row>
    <row r="23" spans="1:24" x14ac:dyDescent="0.2">
      <c r="A23" s="267" t="s">
        <v>61</v>
      </c>
      <c r="B23" s="268">
        <v>6006</v>
      </c>
      <c r="C23" s="269">
        <v>1059231375</v>
      </c>
      <c r="D23" s="269">
        <v>183105238</v>
      </c>
      <c r="E23" s="269">
        <v>1550328</v>
      </c>
      <c r="F23" s="269">
        <v>3723390</v>
      </c>
      <c r="G23" s="269">
        <v>71876558</v>
      </c>
      <c r="H23" s="269">
        <v>133642970</v>
      </c>
      <c r="I23" s="269">
        <v>1</v>
      </c>
      <c r="J23" s="269">
        <v>0</v>
      </c>
      <c r="K23" s="270"/>
      <c r="L23" s="270"/>
      <c r="M23" s="269">
        <v>2</v>
      </c>
      <c r="N23" s="269">
        <v>0</v>
      </c>
      <c r="O23" s="269">
        <v>0</v>
      </c>
      <c r="P23" s="269">
        <v>0</v>
      </c>
      <c r="Q23" s="269">
        <v>0</v>
      </c>
      <c r="R23" s="269">
        <v>0</v>
      </c>
      <c r="S23" s="269">
        <v>0</v>
      </c>
      <c r="T23" s="271">
        <f t="shared" si="2"/>
        <v>1059231376</v>
      </c>
      <c r="U23" s="271">
        <f t="shared" si="2"/>
        <v>183105238</v>
      </c>
      <c r="V23" s="271">
        <f t="shared" si="3"/>
        <v>205519530</v>
      </c>
      <c r="W23" s="271">
        <f t="shared" si="0"/>
        <v>1447856144</v>
      </c>
      <c r="X23" s="271">
        <f t="shared" si="1"/>
        <v>1361828</v>
      </c>
    </row>
    <row r="24" spans="1:24" x14ac:dyDescent="0.2">
      <c r="A24" s="267" t="s">
        <v>31</v>
      </c>
      <c r="B24" s="268">
        <v>7001</v>
      </c>
      <c r="C24" s="269">
        <v>532297137</v>
      </c>
      <c r="D24" s="269">
        <v>230342217</v>
      </c>
      <c r="E24" s="269">
        <v>4552674</v>
      </c>
      <c r="F24" s="269">
        <v>9319669</v>
      </c>
      <c r="G24" s="269">
        <v>166030528</v>
      </c>
      <c r="H24" s="269">
        <v>5366741</v>
      </c>
      <c r="I24" s="269">
        <v>54306</v>
      </c>
      <c r="J24" s="269">
        <v>0</v>
      </c>
      <c r="K24" s="270"/>
      <c r="L24" s="270"/>
      <c r="M24" s="269">
        <v>1</v>
      </c>
      <c r="N24" s="269">
        <v>0</v>
      </c>
      <c r="O24" s="269">
        <v>0</v>
      </c>
      <c r="P24" s="269">
        <v>0</v>
      </c>
      <c r="Q24" s="269">
        <v>0</v>
      </c>
      <c r="R24" s="269">
        <v>0</v>
      </c>
      <c r="S24" s="269">
        <v>0</v>
      </c>
      <c r="T24" s="271">
        <f t="shared" si="2"/>
        <v>532351443</v>
      </c>
      <c r="U24" s="271">
        <f t="shared" si="2"/>
        <v>230342217</v>
      </c>
      <c r="V24" s="271">
        <f t="shared" si="3"/>
        <v>171397270</v>
      </c>
      <c r="W24" s="271">
        <f t="shared" si="0"/>
        <v>934090930</v>
      </c>
      <c r="X24" s="271">
        <f t="shared" si="1"/>
        <v>1036024</v>
      </c>
    </row>
    <row r="25" spans="1:24" x14ac:dyDescent="0.2">
      <c r="A25" s="267" t="s">
        <v>78</v>
      </c>
      <c r="B25" s="268">
        <v>7002</v>
      </c>
      <c r="C25" s="269">
        <v>513054782</v>
      </c>
      <c r="D25" s="269">
        <v>55691614</v>
      </c>
      <c r="E25" s="269">
        <v>1052844</v>
      </c>
      <c r="F25" s="269">
        <v>2669547</v>
      </c>
      <c r="G25" s="269">
        <v>46293637</v>
      </c>
      <c r="H25" s="269">
        <v>1655037</v>
      </c>
      <c r="I25" s="269">
        <v>1</v>
      </c>
      <c r="J25" s="269">
        <v>0</v>
      </c>
      <c r="K25" s="270"/>
      <c r="L25" s="270"/>
      <c r="M25" s="269">
        <v>0</v>
      </c>
      <c r="N25" s="269">
        <v>0</v>
      </c>
      <c r="O25" s="269">
        <v>0</v>
      </c>
      <c r="P25" s="269">
        <v>0</v>
      </c>
      <c r="Q25" s="269">
        <v>0</v>
      </c>
      <c r="R25" s="269">
        <v>0</v>
      </c>
      <c r="S25" s="269">
        <v>0</v>
      </c>
      <c r="T25" s="271">
        <f t="shared" si="2"/>
        <v>513054783</v>
      </c>
      <c r="U25" s="271">
        <f t="shared" si="2"/>
        <v>55691614</v>
      </c>
      <c r="V25" s="271">
        <f t="shared" si="3"/>
        <v>47948674</v>
      </c>
      <c r="W25" s="271">
        <f t="shared" si="0"/>
        <v>616695071</v>
      </c>
      <c r="X25" s="271">
        <f t="shared" si="1"/>
        <v>483639</v>
      </c>
    </row>
    <row r="26" spans="1:24" x14ac:dyDescent="0.2">
      <c r="A26" s="267" t="s">
        <v>16</v>
      </c>
      <c r="B26" s="268">
        <v>9001</v>
      </c>
      <c r="C26" s="269">
        <v>105075593</v>
      </c>
      <c r="D26" s="269">
        <v>614492983</v>
      </c>
      <c r="E26" s="269">
        <v>10258950</v>
      </c>
      <c r="F26" s="269">
        <v>45244350</v>
      </c>
      <c r="G26" s="269">
        <v>271535655</v>
      </c>
      <c r="H26" s="269">
        <v>23360738</v>
      </c>
      <c r="I26" s="269">
        <v>286837</v>
      </c>
      <c r="J26" s="269">
        <v>918945</v>
      </c>
      <c r="K26" s="270"/>
      <c r="L26" s="270"/>
      <c r="M26" s="269">
        <v>5790912</v>
      </c>
      <c r="N26" s="269">
        <v>0</v>
      </c>
      <c r="O26" s="269">
        <v>0</v>
      </c>
      <c r="P26" s="269">
        <v>0</v>
      </c>
      <c r="Q26" s="269">
        <v>0</v>
      </c>
      <c r="R26" s="269">
        <v>0</v>
      </c>
      <c r="S26" s="269">
        <v>0</v>
      </c>
      <c r="T26" s="271">
        <f t="shared" si="2"/>
        <v>105362430</v>
      </c>
      <c r="U26" s="271">
        <f t="shared" si="2"/>
        <v>615411928</v>
      </c>
      <c r="V26" s="271">
        <f t="shared" si="3"/>
        <v>300687305</v>
      </c>
      <c r="W26" s="271">
        <f t="shared" si="0"/>
        <v>1021461663</v>
      </c>
      <c r="X26" s="271">
        <f t="shared" si="1"/>
        <v>1617511</v>
      </c>
    </row>
    <row r="27" spans="1:24" x14ac:dyDescent="0.2">
      <c r="A27" s="267" t="s">
        <v>97</v>
      </c>
      <c r="B27" s="268">
        <v>9002</v>
      </c>
      <c r="C27" s="269">
        <v>226301186</v>
      </c>
      <c r="D27" s="269">
        <v>100592396</v>
      </c>
      <c r="E27" s="269">
        <v>4651220</v>
      </c>
      <c r="F27" s="269">
        <v>20736943</v>
      </c>
      <c r="G27" s="269">
        <v>61413057</v>
      </c>
      <c r="H27" s="269">
        <v>4227011</v>
      </c>
      <c r="I27" s="269">
        <v>525176</v>
      </c>
      <c r="J27" s="269">
        <v>0</v>
      </c>
      <c r="K27" s="270"/>
      <c r="L27" s="270"/>
      <c r="M27" s="269">
        <v>478285</v>
      </c>
      <c r="N27" s="269">
        <v>0</v>
      </c>
      <c r="O27" s="269">
        <v>0</v>
      </c>
      <c r="P27" s="269">
        <v>0</v>
      </c>
      <c r="Q27" s="269">
        <v>0</v>
      </c>
      <c r="R27" s="269">
        <v>0</v>
      </c>
      <c r="S27" s="269">
        <v>0</v>
      </c>
      <c r="T27" s="271">
        <f t="shared" si="2"/>
        <v>226826362</v>
      </c>
      <c r="U27" s="271">
        <f t="shared" si="2"/>
        <v>100592396</v>
      </c>
      <c r="V27" s="271">
        <f t="shared" si="3"/>
        <v>66118353</v>
      </c>
      <c r="W27" s="271">
        <f t="shared" si="0"/>
        <v>393537111</v>
      </c>
      <c r="X27" s="271">
        <f t="shared" si="1"/>
        <v>426507</v>
      </c>
    </row>
    <row r="28" spans="1:24" x14ac:dyDescent="0.2">
      <c r="A28" s="267" t="s">
        <v>68</v>
      </c>
      <c r="B28" s="268">
        <v>10001</v>
      </c>
      <c r="C28" s="269">
        <v>270648070</v>
      </c>
      <c r="D28" s="269">
        <v>24458144</v>
      </c>
      <c r="E28" s="269">
        <v>678056</v>
      </c>
      <c r="F28" s="269">
        <v>2587864</v>
      </c>
      <c r="G28" s="269">
        <v>28496515</v>
      </c>
      <c r="H28" s="269">
        <v>21402332</v>
      </c>
      <c r="I28" s="269">
        <v>2</v>
      </c>
      <c r="J28" s="269">
        <v>0</v>
      </c>
      <c r="K28" s="270"/>
      <c r="L28" s="270"/>
      <c r="M28" s="269">
        <v>0</v>
      </c>
      <c r="N28" s="269">
        <v>0</v>
      </c>
      <c r="O28" s="269">
        <v>0</v>
      </c>
      <c r="P28" s="269">
        <v>0</v>
      </c>
      <c r="Q28" s="269">
        <v>0</v>
      </c>
      <c r="R28" s="269">
        <v>0</v>
      </c>
      <c r="S28" s="269">
        <v>0</v>
      </c>
      <c r="T28" s="271">
        <f t="shared" si="2"/>
        <v>270648072</v>
      </c>
      <c r="U28" s="271">
        <f t="shared" si="2"/>
        <v>24458144</v>
      </c>
      <c r="V28" s="271">
        <f t="shared" si="3"/>
        <v>49898847</v>
      </c>
      <c r="W28" s="271">
        <f t="shared" si="0"/>
        <v>345005063</v>
      </c>
      <c r="X28" s="271">
        <f t="shared" si="1"/>
        <v>313044</v>
      </c>
    </row>
    <row r="29" spans="1:24" x14ac:dyDescent="0.2">
      <c r="A29" s="267" t="s">
        <v>11</v>
      </c>
      <c r="B29" s="268">
        <v>11001</v>
      </c>
      <c r="C29" s="269">
        <v>164250131</v>
      </c>
      <c r="D29" s="269">
        <v>74736757</v>
      </c>
      <c r="E29" s="269">
        <v>5418826</v>
      </c>
      <c r="F29" s="269">
        <v>1733851</v>
      </c>
      <c r="G29" s="269">
        <v>108121534</v>
      </c>
      <c r="H29" s="269">
        <v>980193</v>
      </c>
      <c r="I29" s="269">
        <v>0</v>
      </c>
      <c r="J29" s="269">
        <v>0</v>
      </c>
      <c r="K29" s="270"/>
      <c r="L29" s="270"/>
      <c r="M29" s="269">
        <v>0</v>
      </c>
      <c r="N29" s="269">
        <v>0</v>
      </c>
      <c r="O29" s="269">
        <v>0</v>
      </c>
      <c r="P29" s="269">
        <v>0</v>
      </c>
      <c r="Q29" s="269">
        <v>0</v>
      </c>
      <c r="R29" s="269">
        <v>0</v>
      </c>
      <c r="S29" s="269">
        <v>0</v>
      </c>
      <c r="T29" s="271">
        <f t="shared" si="2"/>
        <v>164250131</v>
      </c>
      <c r="U29" s="271">
        <f t="shared" si="2"/>
        <v>74736757</v>
      </c>
      <c r="V29" s="271">
        <f t="shared" si="3"/>
        <v>109101727</v>
      </c>
      <c r="W29" s="271">
        <f t="shared" si="0"/>
        <v>348088615</v>
      </c>
      <c r="X29" s="271">
        <f t="shared" si="1"/>
        <v>470749</v>
      </c>
    </row>
    <row r="30" spans="1:24" x14ac:dyDescent="0.2">
      <c r="A30" s="267" t="s">
        <v>122</v>
      </c>
      <c r="B30" s="268">
        <v>11004</v>
      </c>
      <c r="C30" s="269">
        <v>337987249</v>
      </c>
      <c r="D30" s="269">
        <v>90795520</v>
      </c>
      <c r="E30" s="269">
        <v>1011406</v>
      </c>
      <c r="F30" s="269">
        <v>1925684</v>
      </c>
      <c r="G30" s="269">
        <v>53845657</v>
      </c>
      <c r="H30" s="269">
        <v>2209128</v>
      </c>
      <c r="I30" s="269">
        <v>0</v>
      </c>
      <c r="J30" s="269">
        <v>0</v>
      </c>
      <c r="K30" s="270"/>
      <c r="L30" s="270"/>
      <c r="M30" s="269">
        <v>1</v>
      </c>
      <c r="N30" s="269">
        <v>0</v>
      </c>
      <c r="O30" s="269">
        <v>0</v>
      </c>
      <c r="P30" s="269">
        <v>0</v>
      </c>
      <c r="Q30" s="269">
        <v>0</v>
      </c>
      <c r="R30" s="269">
        <v>0</v>
      </c>
      <c r="S30" s="269">
        <v>0</v>
      </c>
      <c r="T30" s="271">
        <f t="shared" si="2"/>
        <v>337987249</v>
      </c>
      <c r="U30" s="271">
        <f t="shared" si="2"/>
        <v>90795520</v>
      </c>
      <c r="V30" s="271">
        <f t="shared" si="3"/>
        <v>56054786</v>
      </c>
      <c r="W30" s="271">
        <f t="shared" si="0"/>
        <v>484837555</v>
      </c>
      <c r="X30" s="271">
        <f t="shared" si="1"/>
        <v>450480</v>
      </c>
    </row>
    <row r="31" spans="1:24" x14ac:dyDescent="0.2">
      <c r="A31" s="267" t="s">
        <v>430</v>
      </c>
      <c r="B31" s="268">
        <v>11005</v>
      </c>
      <c r="C31" s="269">
        <v>656959708</v>
      </c>
      <c r="D31" s="269">
        <v>178323986</v>
      </c>
      <c r="E31" s="269">
        <v>1524871</v>
      </c>
      <c r="F31" s="269">
        <v>3154683</v>
      </c>
      <c r="G31" s="269">
        <v>121439763</v>
      </c>
      <c r="H31" s="269">
        <v>2469398</v>
      </c>
      <c r="I31" s="269">
        <v>0</v>
      </c>
      <c r="J31" s="269">
        <v>0</v>
      </c>
      <c r="K31" s="270"/>
      <c r="L31" s="270"/>
      <c r="M31" s="269">
        <v>2</v>
      </c>
      <c r="N31" s="269">
        <v>0</v>
      </c>
      <c r="O31" s="269">
        <v>0</v>
      </c>
      <c r="P31" s="269">
        <v>0</v>
      </c>
      <c r="Q31" s="269">
        <v>0</v>
      </c>
      <c r="R31" s="269">
        <v>0</v>
      </c>
      <c r="S31" s="269">
        <v>0</v>
      </c>
      <c r="T31" s="271">
        <f t="shared" si="2"/>
        <v>656959708</v>
      </c>
      <c r="U31" s="271">
        <f t="shared" si="2"/>
        <v>178323986</v>
      </c>
      <c r="V31" s="271">
        <f t="shared" si="3"/>
        <v>123909163</v>
      </c>
      <c r="W31" s="271">
        <f t="shared" si="0"/>
        <v>959192857</v>
      </c>
      <c r="X31" s="271">
        <f t="shared" si="1"/>
        <v>916895</v>
      </c>
    </row>
    <row r="32" spans="1:24" x14ac:dyDescent="0.2">
      <c r="A32" s="267" t="s">
        <v>33</v>
      </c>
      <c r="B32" s="268">
        <v>12002</v>
      </c>
      <c r="C32" s="269">
        <v>817160665</v>
      </c>
      <c r="D32" s="269">
        <v>155245448</v>
      </c>
      <c r="E32" s="269">
        <v>826536</v>
      </c>
      <c r="F32" s="269">
        <v>3469850</v>
      </c>
      <c r="G32" s="269">
        <v>85082470</v>
      </c>
      <c r="H32" s="269">
        <v>55615674</v>
      </c>
      <c r="I32" s="269">
        <v>0</v>
      </c>
      <c r="J32" s="269">
        <v>0</v>
      </c>
      <c r="K32" s="270"/>
      <c r="L32" s="270"/>
      <c r="M32" s="269">
        <v>1</v>
      </c>
      <c r="N32" s="269">
        <v>0</v>
      </c>
      <c r="O32" s="269">
        <v>0</v>
      </c>
      <c r="P32" s="269">
        <v>0</v>
      </c>
      <c r="Q32" s="269">
        <v>0</v>
      </c>
      <c r="R32" s="269">
        <v>0</v>
      </c>
      <c r="S32" s="269">
        <v>0</v>
      </c>
      <c r="T32" s="271">
        <f t="shared" si="2"/>
        <v>817160665</v>
      </c>
      <c r="U32" s="271">
        <f t="shared" si="2"/>
        <v>155245448</v>
      </c>
      <c r="V32" s="271">
        <f t="shared" si="3"/>
        <v>140698145</v>
      </c>
      <c r="W32" s="271">
        <f t="shared" si="0"/>
        <v>1113104258</v>
      </c>
      <c r="X32" s="271">
        <f t="shared" si="1"/>
        <v>1021696</v>
      </c>
    </row>
    <row r="33" spans="1:24" x14ac:dyDescent="0.2">
      <c r="A33" s="267" t="s">
        <v>133</v>
      </c>
      <c r="B33" s="268">
        <v>12003</v>
      </c>
      <c r="C33" s="269">
        <v>508614592</v>
      </c>
      <c r="D33" s="269">
        <v>66380193</v>
      </c>
      <c r="E33" s="269">
        <v>776736</v>
      </c>
      <c r="F33" s="269">
        <v>771634</v>
      </c>
      <c r="G33" s="269">
        <v>32463536</v>
      </c>
      <c r="H33" s="269">
        <v>33198552</v>
      </c>
      <c r="I33" s="269">
        <v>1</v>
      </c>
      <c r="J33" s="269">
        <v>0</v>
      </c>
      <c r="K33" s="270"/>
      <c r="L33" s="270"/>
      <c r="M33" s="269">
        <v>1</v>
      </c>
      <c r="N33" s="269">
        <v>0</v>
      </c>
      <c r="O33" s="269">
        <v>0</v>
      </c>
      <c r="P33" s="269">
        <v>0</v>
      </c>
      <c r="Q33" s="269">
        <v>0</v>
      </c>
      <c r="R33" s="269">
        <v>0</v>
      </c>
      <c r="S33" s="269">
        <v>0</v>
      </c>
      <c r="T33" s="271">
        <f t="shared" si="2"/>
        <v>508614593</v>
      </c>
      <c r="U33" s="271">
        <f t="shared" si="2"/>
        <v>66380193</v>
      </c>
      <c r="V33" s="271">
        <f t="shared" si="3"/>
        <v>65662089</v>
      </c>
      <c r="W33" s="271">
        <f t="shared" si="0"/>
        <v>640656875</v>
      </c>
      <c r="X33" s="271">
        <f t="shared" si="1"/>
        <v>540751</v>
      </c>
    </row>
    <row r="34" spans="1:24" x14ac:dyDescent="0.2">
      <c r="A34" s="267" t="s">
        <v>121</v>
      </c>
      <c r="B34" s="268">
        <v>13001</v>
      </c>
      <c r="C34" s="269">
        <v>262010403</v>
      </c>
      <c r="D34" s="269">
        <v>601485957</v>
      </c>
      <c r="E34" s="269">
        <v>4463990</v>
      </c>
      <c r="F34" s="269">
        <v>3680860</v>
      </c>
      <c r="G34" s="269">
        <v>376578778</v>
      </c>
      <c r="H34" s="269">
        <v>5695582</v>
      </c>
      <c r="I34" s="269">
        <v>1</v>
      </c>
      <c r="J34" s="269">
        <v>0</v>
      </c>
      <c r="K34" s="270"/>
      <c r="L34" s="270"/>
      <c r="M34" s="269">
        <v>1</v>
      </c>
      <c r="N34" s="269">
        <v>0</v>
      </c>
      <c r="O34" s="269">
        <v>0</v>
      </c>
      <c r="P34" s="269">
        <v>0</v>
      </c>
      <c r="Q34" s="269">
        <v>0</v>
      </c>
      <c r="R34" s="269">
        <v>0</v>
      </c>
      <c r="S34" s="269">
        <v>0</v>
      </c>
      <c r="T34" s="271">
        <f t="shared" si="2"/>
        <v>262010404</v>
      </c>
      <c r="U34" s="271">
        <f t="shared" si="2"/>
        <v>601485957</v>
      </c>
      <c r="V34" s="271">
        <f t="shared" si="3"/>
        <v>382274361</v>
      </c>
      <c r="W34" s="271">
        <f t="shared" si="0"/>
        <v>1245770722</v>
      </c>
      <c r="X34" s="271">
        <f t="shared" si="1"/>
        <v>1900668</v>
      </c>
    </row>
    <row r="35" spans="1:24" x14ac:dyDescent="0.2">
      <c r="A35" s="267" t="s">
        <v>431</v>
      </c>
      <c r="B35" s="268">
        <v>13003</v>
      </c>
      <c r="C35" s="269">
        <v>389125912</v>
      </c>
      <c r="D35" s="269">
        <v>107969344</v>
      </c>
      <c r="E35" s="269">
        <v>121175</v>
      </c>
      <c r="F35" s="269">
        <v>1236941</v>
      </c>
      <c r="G35" s="269">
        <v>30720658</v>
      </c>
      <c r="H35" s="269">
        <v>17321920</v>
      </c>
      <c r="I35" s="269">
        <v>1</v>
      </c>
      <c r="J35" s="269">
        <v>0</v>
      </c>
      <c r="K35" s="270"/>
      <c r="L35" s="270"/>
      <c r="M35" s="269">
        <v>2</v>
      </c>
      <c r="N35" s="269">
        <v>0</v>
      </c>
      <c r="O35" s="269">
        <v>0</v>
      </c>
      <c r="P35" s="269">
        <v>0</v>
      </c>
      <c r="Q35" s="269">
        <v>0</v>
      </c>
      <c r="R35" s="269">
        <v>0</v>
      </c>
      <c r="S35" s="269">
        <v>0</v>
      </c>
      <c r="T35" s="271">
        <f t="shared" si="2"/>
        <v>389125913</v>
      </c>
      <c r="U35" s="271">
        <f t="shared" si="2"/>
        <v>107969344</v>
      </c>
      <c r="V35" s="271">
        <f t="shared" si="3"/>
        <v>48042580</v>
      </c>
      <c r="W35" s="271">
        <f t="shared" si="0"/>
        <v>545137837</v>
      </c>
      <c r="X35" s="271">
        <f t="shared" si="1"/>
        <v>479992</v>
      </c>
    </row>
    <row r="36" spans="1:24" x14ac:dyDescent="0.2">
      <c r="A36" s="267" t="s">
        <v>54</v>
      </c>
      <c r="B36" s="268">
        <v>14001</v>
      </c>
      <c r="C36" s="269">
        <v>152149739</v>
      </c>
      <c r="D36" s="269">
        <v>49866821</v>
      </c>
      <c r="E36" s="269">
        <v>385433</v>
      </c>
      <c r="F36" s="269">
        <v>1883038</v>
      </c>
      <c r="G36" s="269">
        <v>7150068</v>
      </c>
      <c r="H36" s="269">
        <v>255997</v>
      </c>
      <c r="I36" s="269">
        <v>330387</v>
      </c>
      <c r="J36" s="269">
        <v>0</v>
      </c>
      <c r="K36" s="270"/>
      <c r="L36" s="270"/>
      <c r="M36" s="269">
        <v>417777</v>
      </c>
      <c r="N36" s="269">
        <v>0</v>
      </c>
      <c r="O36" s="269">
        <v>0</v>
      </c>
      <c r="P36" s="269">
        <v>0</v>
      </c>
      <c r="Q36" s="269">
        <v>0</v>
      </c>
      <c r="R36" s="269">
        <v>0</v>
      </c>
      <c r="S36" s="269">
        <v>0</v>
      </c>
      <c r="T36" s="271">
        <f t="shared" si="2"/>
        <v>152480126</v>
      </c>
      <c r="U36" s="271">
        <f t="shared" si="2"/>
        <v>49866821</v>
      </c>
      <c r="V36" s="271">
        <f t="shared" si="3"/>
        <v>7823842</v>
      </c>
      <c r="W36" s="271">
        <f t="shared" si="0"/>
        <v>210170789</v>
      </c>
      <c r="X36" s="271">
        <f t="shared" si="1"/>
        <v>168937</v>
      </c>
    </row>
    <row r="37" spans="1:24" x14ac:dyDescent="0.2">
      <c r="A37" s="267" t="s">
        <v>67</v>
      </c>
      <c r="B37" s="268">
        <v>14002</v>
      </c>
      <c r="C37" s="269">
        <v>123085084</v>
      </c>
      <c r="D37" s="269">
        <v>30253544</v>
      </c>
      <c r="E37" s="269">
        <v>188300</v>
      </c>
      <c r="F37" s="269">
        <v>1505185</v>
      </c>
      <c r="G37" s="269">
        <v>7730125</v>
      </c>
      <c r="H37" s="269">
        <v>4503463</v>
      </c>
      <c r="I37" s="269">
        <v>93070</v>
      </c>
      <c r="J37" s="269">
        <v>0</v>
      </c>
      <c r="K37" s="270"/>
      <c r="L37" s="270"/>
      <c r="M37" s="269">
        <v>272126</v>
      </c>
      <c r="N37" s="269">
        <v>0</v>
      </c>
      <c r="O37" s="269">
        <v>0</v>
      </c>
      <c r="P37" s="269">
        <v>0</v>
      </c>
      <c r="Q37" s="269">
        <v>0</v>
      </c>
      <c r="R37" s="269">
        <v>0</v>
      </c>
      <c r="S37" s="269">
        <v>0</v>
      </c>
      <c r="T37" s="271">
        <f t="shared" si="2"/>
        <v>123178154</v>
      </c>
      <c r="U37" s="271">
        <f t="shared" si="2"/>
        <v>30253544</v>
      </c>
      <c r="V37" s="271">
        <f t="shared" si="3"/>
        <v>12505714</v>
      </c>
      <c r="W37" s="271">
        <f t="shared" si="0"/>
        <v>165937412</v>
      </c>
      <c r="X37" s="271">
        <f t="shared" si="1"/>
        <v>139961</v>
      </c>
    </row>
    <row r="38" spans="1:24" x14ac:dyDescent="0.2">
      <c r="A38" s="267" t="s">
        <v>125</v>
      </c>
      <c r="B38" s="268">
        <v>14004</v>
      </c>
      <c r="C38" s="269">
        <v>388540148</v>
      </c>
      <c r="D38" s="269">
        <v>2100024905</v>
      </c>
      <c r="E38" s="269">
        <v>6659597</v>
      </c>
      <c r="F38" s="269">
        <v>14126951</v>
      </c>
      <c r="G38" s="269">
        <v>1091308243</v>
      </c>
      <c r="H38" s="269">
        <v>14681185</v>
      </c>
      <c r="I38" s="269">
        <v>1495946</v>
      </c>
      <c r="J38" s="269">
        <v>0</v>
      </c>
      <c r="K38" s="270"/>
      <c r="L38" s="270"/>
      <c r="M38" s="269">
        <v>45630766</v>
      </c>
      <c r="N38" s="269">
        <v>0</v>
      </c>
      <c r="O38" s="269">
        <v>0</v>
      </c>
      <c r="P38" s="269">
        <v>0</v>
      </c>
      <c r="Q38" s="269">
        <v>0</v>
      </c>
      <c r="R38" s="269">
        <v>0</v>
      </c>
      <c r="S38" s="269">
        <v>0</v>
      </c>
      <c r="T38" s="271">
        <f t="shared" si="2"/>
        <v>390036094</v>
      </c>
      <c r="U38" s="271">
        <f t="shared" si="2"/>
        <v>2100024905</v>
      </c>
      <c r="V38" s="271">
        <f t="shared" si="3"/>
        <v>1151620194</v>
      </c>
      <c r="W38" s="271">
        <f t="shared" si="0"/>
        <v>3641681193</v>
      </c>
      <c r="X38" s="271">
        <f t="shared" si="1"/>
        <v>5863873</v>
      </c>
    </row>
    <row r="39" spans="1:24" x14ac:dyDescent="0.2">
      <c r="A39" s="267" t="s">
        <v>127</v>
      </c>
      <c r="B39" s="268">
        <v>14005</v>
      </c>
      <c r="C39" s="269">
        <v>279741758</v>
      </c>
      <c r="D39" s="269">
        <v>59583460</v>
      </c>
      <c r="E39" s="269">
        <v>188646</v>
      </c>
      <c r="F39" s="269">
        <v>1289809</v>
      </c>
      <c r="G39" s="269">
        <v>10938693</v>
      </c>
      <c r="H39" s="269">
        <v>3312335</v>
      </c>
      <c r="I39" s="269">
        <v>353975</v>
      </c>
      <c r="J39" s="269">
        <v>0</v>
      </c>
      <c r="K39" s="270"/>
      <c r="L39" s="270"/>
      <c r="M39" s="269">
        <v>0</v>
      </c>
      <c r="N39" s="269">
        <v>0</v>
      </c>
      <c r="O39" s="269">
        <v>0</v>
      </c>
      <c r="P39" s="269">
        <v>0</v>
      </c>
      <c r="Q39" s="269">
        <v>0</v>
      </c>
      <c r="R39" s="269">
        <v>0</v>
      </c>
      <c r="S39" s="269">
        <v>0</v>
      </c>
      <c r="T39" s="271">
        <f t="shared" si="2"/>
        <v>280095733</v>
      </c>
      <c r="U39" s="271">
        <f t="shared" si="2"/>
        <v>59583460</v>
      </c>
      <c r="V39" s="271">
        <f t="shared" si="3"/>
        <v>14251028</v>
      </c>
      <c r="W39" s="271">
        <f t="shared" si="0"/>
        <v>353930221</v>
      </c>
      <c r="X39" s="271">
        <f t="shared" si="1"/>
        <v>269700</v>
      </c>
    </row>
    <row r="40" spans="1:24" x14ac:dyDescent="0.2">
      <c r="A40" s="267" t="s">
        <v>88</v>
      </c>
      <c r="B40" s="268">
        <v>15001</v>
      </c>
      <c r="C40" s="269">
        <v>205154723</v>
      </c>
      <c r="D40" s="269">
        <v>5059788</v>
      </c>
      <c r="E40" s="269">
        <v>251705</v>
      </c>
      <c r="F40" s="269">
        <v>1644021</v>
      </c>
      <c r="G40" s="269">
        <v>4245832</v>
      </c>
      <c r="H40" s="269">
        <v>16527124</v>
      </c>
      <c r="I40" s="269">
        <v>0</v>
      </c>
      <c r="J40" s="269">
        <v>0</v>
      </c>
      <c r="K40" s="270"/>
      <c r="L40" s="270"/>
      <c r="M40" s="269">
        <v>0</v>
      </c>
      <c r="N40" s="269">
        <v>0</v>
      </c>
      <c r="O40" s="269">
        <v>0</v>
      </c>
      <c r="P40" s="269">
        <v>0</v>
      </c>
      <c r="Q40" s="269">
        <v>0</v>
      </c>
      <c r="R40" s="269">
        <v>0</v>
      </c>
      <c r="S40" s="269">
        <v>0</v>
      </c>
      <c r="T40" s="271">
        <f t="shared" si="2"/>
        <v>205154723</v>
      </c>
      <c r="U40" s="271">
        <f t="shared" si="2"/>
        <v>5059788</v>
      </c>
      <c r="V40" s="271">
        <f t="shared" si="3"/>
        <v>20772956</v>
      </c>
      <c r="W40" s="271">
        <f t="shared" si="0"/>
        <v>230987467</v>
      </c>
      <c r="X40" s="271">
        <f t="shared" si="1"/>
        <v>175894</v>
      </c>
    </row>
    <row r="41" spans="1:24" x14ac:dyDescent="0.2">
      <c r="A41" s="267" t="s">
        <v>89</v>
      </c>
      <c r="B41" s="268">
        <v>15002</v>
      </c>
      <c r="C41" s="269">
        <v>204789725</v>
      </c>
      <c r="D41" s="269">
        <v>7484362</v>
      </c>
      <c r="E41" s="269">
        <v>777772</v>
      </c>
      <c r="F41" s="269">
        <v>1492293</v>
      </c>
      <c r="G41" s="269">
        <v>23586876</v>
      </c>
      <c r="H41" s="269">
        <v>13167570</v>
      </c>
      <c r="I41" s="269">
        <v>0</v>
      </c>
      <c r="J41" s="269">
        <v>0</v>
      </c>
      <c r="K41" s="270"/>
      <c r="L41" s="270"/>
      <c r="M41" s="269">
        <v>0</v>
      </c>
      <c r="N41" s="269">
        <v>0</v>
      </c>
      <c r="O41" s="269">
        <v>0</v>
      </c>
      <c r="P41" s="269">
        <v>0</v>
      </c>
      <c r="Q41" s="269">
        <v>0</v>
      </c>
      <c r="R41" s="269">
        <v>0</v>
      </c>
      <c r="S41" s="269">
        <v>0</v>
      </c>
      <c r="T41" s="271">
        <f t="shared" si="2"/>
        <v>204789725</v>
      </c>
      <c r="U41" s="271">
        <f t="shared" si="2"/>
        <v>7484362</v>
      </c>
      <c r="V41" s="271">
        <f t="shared" si="3"/>
        <v>36754446</v>
      </c>
      <c r="W41" s="271">
        <f t="shared" si="0"/>
        <v>249028533</v>
      </c>
      <c r="X41" s="271">
        <f t="shared" si="1"/>
        <v>220381</v>
      </c>
    </row>
    <row r="42" spans="1:24" x14ac:dyDescent="0.2">
      <c r="A42" s="267" t="s">
        <v>112</v>
      </c>
      <c r="B42" s="268">
        <v>15003</v>
      </c>
      <c r="C42" s="269">
        <v>15273612</v>
      </c>
      <c r="D42" s="269">
        <v>171873</v>
      </c>
      <c r="E42" s="269">
        <v>44804</v>
      </c>
      <c r="F42" s="269">
        <v>121880</v>
      </c>
      <c r="G42" s="269">
        <v>392345</v>
      </c>
      <c r="H42" s="269">
        <v>7373559</v>
      </c>
      <c r="I42" s="269">
        <v>0</v>
      </c>
      <c r="J42" s="269">
        <v>0</v>
      </c>
      <c r="K42" s="270"/>
      <c r="L42" s="270"/>
      <c r="M42" s="269">
        <v>0</v>
      </c>
      <c r="N42" s="269">
        <v>0</v>
      </c>
      <c r="O42" s="269">
        <v>0</v>
      </c>
      <c r="P42" s="269">
        <v>0</v>
      </c>
      <c r="Q42" s="269">
        <v>0</v>
      </c>
      <c r="R42" s="269">
        <v>0</v>
      </c>
      <c r="S42" s="269">
        <v>0</v>
      </c>
      <c r="T42" s="271">
        <f t="shared" si="2"/>
        <v>15273612</v>
      </c>
      <c r="U42" s="271">
        <f t="shared" si="2"/>
        <v>171873</v>
      </c>
      <c r="V42" s="271">
        <f t="shared" si="3"/>
        <v>7765904</v>
      </c>
      <c r="W42" s="271">
        <f t="shared" si="0"/>
        <v>23211389</v>
      </c>
      <c r="X42" s="271">
        <f t="shared" si="1"/>
        <v>29042</v>
      </c>
    </row>
    <row r="43" spans="1:24" x14ac:dyDescent="0.2">
      <c r="A43" s="267" t="s">
        <v>34</v>
      </c>
      <c r="B43" s="268">
        <v>16001</v>
      </c>
      <c r="C43" s="269">
        <v>171409187</v>
      </c>
      <c r="D43" s="269">
        <v>1263599164</v>
      </c>
      <c r="E43" s="269">
        <v>16678182</v>
      </c>
      <c r="F43" s="269">
        <v>52018043</v>
      </c>
      <c r="G43" s="269">
        <v>803064319</v>
      </c>
      <c r="H43" s="269">
        <v>22011308</v>
      </c>
      <c r="I43" s="269">
        <v>0</v>
      </c>
      <c r="J43" s="269">
        <v>0</v>
      </c>
      <c r="K43" s="270"/>
      <c r="L43" s="270"/>
      <c r="M43" s="269">
        <v>0</v>
      </c>
      <c r="N43" s="269">
        <v>0</v>
      </c>
      <c r="O43" s="269">
        <v>167764</v>
      </c>
      <c r="P43" s="269">
        <v>0</v>
      </c>
      <c r="Q43" s="269">
        <v>0</v>
      </c>
      <c r="R43" s="269">
        <v>10740910</v>
      </c>
      <c r="S43" s="269">
        <v>0</v>
      </c>
      <c r="T43" s="271">
        <f t="shared" si="2"/>
        <v>171409187</v>
      </c>
      <c r="U43" s="271">
        <f t="shared" si="2"/>
        <v>1263766928</v>
      </c>
      <c r="V43" s="271">
        <f t="shared" si="3"/>
        <v>835816537</v>
      </c>
      <c r="W43" s="271">
        <f t="shared" si="0"/>
        <v>2270992652</v>
      </c>
      <c r="X43" s="271">
        <f t="shared" si="1"/>
        <v>3865220</v>
      </c>
    </row>
    <row r="44" spans="1:24" x14ac:dyDescent="0.2">
      <c r="A44" s="267" t="s">
        <v>46</v>
      </c>
      <c r="B44" s="268">
        <v>16002</v>
      </c>
      <c r="C44" s="269">
        <v>16906861</v>
      </c>
      <c r="D44" s="269">
        <v>34605043</v>
      </c>
      <c r="E44" s="269">
        <v>619876</v>
      </c>
      <c r="F44" s="269">
        <v>3318610</v>
      </c>
      <c r="G44" s="269">
        <v>30803078</v>
      </c>
      <c r="H44" s="269">
        <v>10377428</v>
      </c>
      <c r="I44" s="269">
        <v>0</v>
      </c>
      <c r="J44" s="269">
        <v>0</v>
      </c>
      <c r="K44" s="270"/>
      <c r="L44" s="270"/>
      <c r="M44" s="269">
        <v>0</v>
      </c>
      <c r="N44" s="269">
        <v>0</v>
      </c>
      <c r="O44" s="269">
        <v>0</v>
      </c>
      <c r="P44" s="269">
        <v>0</v>
      </c>
      <c r="Q44" s="269">
        <v>0</v>
      </c>
      <c r="R44" s="269">
        <v>0</v>
      </c>
      <c r="S44" s="269">
        <v>0</v>
      </c>
      <c r="T44" s="271">
        <f t="shared" si="2"/>
        <v>16906861</v>
      </c>
      <c r="U44" s="271">
        <f t="shared" si="2"/>
        <v>34605043</v>
      </c>
      <c r="V44" s="271">
        <f t="shared" si="3"/>
        <v>41180506</v>
      </c>
      <c r="W44" s="271">
        <f t="shared" si="0"/>
        <v>92692410</v>
      </c>
      <c r="X44" s="271">
        <f t="shared" si="1"/>
        <v>160374</v>
      </c>
    </row>
    <row r="45" spans="1:24" x14ac:dyDescent="0.2">
      <c r="A45" s="267" t="s">
        <v>50</v>
      </c>
      <c r="B45" s="268">
        <v>17001</v>
      </c>
      <c r="C45" s="269">
        <v>142775589</v>
      </c>
      <c r="D45" s="269">
        <v>53860040</v>
      </c>
      <c r="E45" s="269">
        <v>294702</v>
      </c>
      <c r="F45" s="269">
        <v>692691</v>
      </c>
      <c r="G45" s="269">
        <v>13948859</v>
      </c>
      <c r="H45" s="269">
        <v>1243653</v>
      </c>
      <c r="I45" s="269">
        <v>1</v>
      </c>
      <c r="J45" s="269">
        <v>0</v>
      </c>
      <c r="K45" s="270"/>
      <c r="L45" s="270"/>
      <c r="M45" s="269">
        <v>0</v>
      </c>
      <c r="N45" s="269">
        <v>0</v>
      </c>
      <c r="O45" s="269">
        <v>0</v>
      </c>
      <c r="P45" s="269">
        <v>0</v>
      </c>
      <c r="Q45" s="269">
        <v>0</v>
      </c>
      <c r="R45" s="269">
        <v>0</v>
      </c>
      <c r="S45" s="269">
        <v>0</v>
      </c>
      <c r="T45" s="271">
        <f t="shared" si="2"/>
        <v>142775590</v>
      </c>
      <c r="U45" s="271">
        <f t="shared" si="2"/>
        <v>53860040</v>
      </c>
      <c r="V45" s="271">
        <f t="shared" si="3"/>
        <v>15192512</v>
      </c>
      <c r="W45" s="271">
        <f t="shared" si="0"/>
        <v>211828142</v>
      </c>
      <c r="X45" s="271">
        <f t="shared" si="1"/>
        <v>187705</v>
      </c>
    </row>
    <row r="46" spans="1:24" x14ac:dyDescent="0.2">
      <c r="A46" s="267" t="s">
        <v>93</v>
      </c>
      <c r="B46" s="268">
        <v>17002</v>
      </c>
      <c r="C46" s="269">
        <v>313882350</v>
      </c>
      <c r="D46" s="269">
        <v>1226798136</v>
      </c>
      <c r="E46" s="269">
        <v>3543575</v>
      </c>
      <c r="F46" s="269">
        <v>5369009</v>
      </c>
      <c r="G46" s="269">
        <v>861379333</v>
      </c>
      <c r="H46" s="269">
        <v>35373981</v>
      </c>
      <c r="I46" s="269">
        <v>1</v>
      </c>
      <c r="J46" s="269">
        <v>0</v>
      </c>
      <c r="K46" s="270"/>
      <c r="L46" s="270"/>
      <c r="M46" s="269">
        <v>258570</v>
      </c>
      <c r="N46" s="269">
        <v>0</v>
      </c>
      <c r="O46" s="269">
        <v>0</v>
      </c>
      <c r="P46" s="269">
        <v>0</v>
      </c>
      <c r="Q46" s="269">
        <v>0</v>
      </c>
      <c r="R46" s="269">
        <v>0</v>
      </c>
      <c r="S46" s="269">
        <v>0</v>
      </c>
      <c r="T46" s="271">
        <f t="shared" si="2"/>
        <v>313882351</v>
      </c>
      <c r="U46" s="271">
        <f t="shared" si="2"/>
        <v>1226798136</v>
      </c>
      <c r="V46" s="271">
        <f t="shared" si="3"/>
        <v>897011884</v>
      </c>
      <c r="W46" s="271">
        <f t="shared" si="0"/>
        <v>2437692371</v>
      </c>
      <c r="X46" s="271">
        <f t="shared" si="1"/>
        <v>4058262</v>
      </c>
    </row>
    <row r="47" spans="1:24" x14ac:dyDescent="0.2">
      <c r="A47" s="267" t="s">
        <v>95</v>
      </c>
      <c r="B47" s="268">
        <v>17003</v>
      </c>
      <c r="C47" s="269">
        <v>246627283</v>
      </c>
      <c r="D47" s="269">
        <v>52788294</v>
      </c>
      <c r="E47" s="269">
        <v>284369</v>
      </c>
      <c r="F47" s="269">
        <v>1215903</v>
      </c>
      <c r="G47" s="269">
        <v>24557344</v>
      </c>
      <c r="H47" s="269">
        <v>1097468</v>
      </c>
      <c r="I47" s="269">
        <v>6</v>
      </c>
      <c r="J47" s="269">
        <v>0</v>
      </c>
      <c r="K47" s="270"/>
      <c r="L47" s="270"/>
      <c r="M47" s="269">
        <v>0</v>
      </c>
      <c r="N47" s="269">
        <v>0</v>
      </c>
      <c r="O47" s="269">
        <v>0</v>
      </c>
      <c r="P47" s="269">
        <v>0</v>
      </c>
      <c r="Q47" s="269">
        <v>0</v>
      </c>
      <c r="R47" s="269">
        <v>0</v>
      </c>
      <c r="S47" s="269">
        <v>0</v>
      </c>
      <c r="T47" s="271">
        <f t="shared" si="2"/>
        <v>246627289</v>
      </c>
      <c r="U47" s="271">
        <f t="shared" si="2"/>
        <v>52788294</v>
      </c>
      <c r="V47" s="271">
        <f t="shared" si="3"/>
        <v>25654812</v>
      </c>
      <c r="W47" s="271">
        <f t="shared" si="0"/>
        <v>325070395</v>
      </c>
      <c r="X47" s="271">
        <f t="shared" si="1"/>
        <v>272032</v>
      </c>
    </row>
    <row r="48" spans="1:24" x14ac:dyDescent="0.2">
      <c r="A48" s="267" t="s">
        <v>126</v>
      </c>
      <c r="B48" s="268">
        <v>18003</v>
      </c>
      <c r="C48" s="269">
        <v>139250054</v>
      </c>
      <c r="D48" s="269">
        <v>55075825</v>
      </c>
      <c r="E48" s="269">
        <v>924804</v>
      </c>
      <c r="F48" s="269">
        <v>1503733</v>
      </c>
      <c r="G48" s="269">
        <v>53908698</v>
      </c>
      <c r="H48" s="269">
        <v>8944946</v>
      </c>
      <c r="I48" s="269">
        <v>0</v>
      </c>
      <c r="J48" s="269">
        <v>0</v>
      </c>
      <c r="K48" s="270"/>
      <c r="L48" s="270"/>
      <c r="M48" s="269">
        <v>1</v>
      </c>
      <c r="N48" s="269">
        <v>0</v>
      </c>
      <c r="O48" s="269">
        <v>0</v>
      </c>
      <c r="P48" s="269">
        <v>0</v>
      </c>
      <c r="Q48" s="269">
        <v>0</v>
      </c>
      <c r="R48" s="269">
        <v>0</v>
      </c>
      <c r="S48" s="269">
        <v>0</v>
      </c>
      <c r="T48" s="271">
        <f t="shared" si="2"/>
        <v>139250054</v>
      </c>
      <c r="U48" s="271">
        <f t="shared" si="2"/>
        <v>55075825</v>
      </c>
      <c r="V48" s="271">
        <f t="shared" si="3"/>
        <v>62853645</v>
      </c>
      <c r="W48" s="271">
        <f t="shared" si="0"/>
        <v>257179524</v>
      </c>
      <c r="X48" s="271">
        <f t="shared" si="1"/>
        <v>311434</v>
      </c>
    </row>
    <row r="49" spans="1:24" x14ac:dyDescent="0.2">
      <c r="A49" s="267" t="s">
        <v>128</v>
      </c>
      <c r="B49" s="268">
        <v>18005</v>
      </c>
      <c r="C49" s="269">
        <v>402011288</v>
      </c>
      <c r="D49" s="269">
        <v>243575223</v>
      </c>
      <c r="E49" s="269">
        <v>2423148</v>
      </c>
      <c r="F49" s="269">
        <v>2051056</v>
      </c>
      <c r="G49" s="269">
        <v>208423327</v>
      </c>
      <c r="H49" s="269">
        <v>18629055</v>
      </c>
      <c r="I49" s="269">
        <v>116317</v>
      </c>
      <c r="J49" s="269">
        <v>0</v>
      </c>
      <c r="K49" s="270"/>
      <c r="L49" s="270"/>
      <c r="M49" s="269">
        <v>506836</v>
      </c>
      <c r="N49" s="269">
        <v>0</v>
      </c>
      <c r="O49" s="269">
        <v>0</v>
      </c>
      <c r="P49" s="269">
        <v>0</v>
      </c>
      <c r="Q49" s="269">
        <v>0</v>
      </c>
      <c r="R49" s="269">
        <v>0</v>
      </c>
      <c r="S49" s="269">
        <v>0</v>
      </c>
      <c r="T49" s="271">
        <f t="shared" si="2"/>
        <v>402127605</v>
      </c>
      <c r="U49" s="271">
        <f t="shared" si="2"/>
        <v>243575223</v>
      </c>
      <c r="V49" s="271">
        <f t="shared" si="3"/>
        <v>227559218</v>
      </c>
      <c r="W49" s="271">
        <f t="shared" si="0"/>
        <v>873262046</v>
      </c>
      <c r="X49" s="271">
        <f t="shared" si="1"/>
        <v>1125764</v>
      </c>
    </row>
    <row r="50" spans="1:24" x14ac:dyDescent="0.2">
      <c r="A50" s="267" t="s">
        <v>39</v>
      </c>
      <c r="B50" s="268">
        <v>19004</v>
      </c>
      <c r="C50" s="269">
        <v>465165296</v>
      </c>
      <c r="D50" s="269">
        <v>226565625</v>
      </c>
      <c r="E50" s="269">
        <v>1848937</v>
      </c>
      <c r="F50" s="269">
        <v>2298935</v>
      </c>
      <c r="G50" s="269">
        <v>144253584</v>
      </c>
      <c r="H50" s="269">
        <v>23376515</v>
      </c>
      <c r="I50" s="269">
        <v>1</v>
      </c>
      <c r="J50" s="269">
        <v>0</v>
      </c>
      <c r="K50" s="270"/>
      <c r="L50" s="270"/>
      <c r="M50" s="269">
        <v>2</v>
      </c>
      <c r="N50" s="269">
        <v>0</v>
      </c>
      <c r="O50" s="269">
        <v>0</v>
      </c>
      <c r="P50" s="269">
        <v>0</v>
      </c>
      <c r="Q50" s="269">
        <v>0</v>
      </c>
      <c r="R50" s="269">
        <v>0</v>
      </c>
      <c r="S50" s="269">
        <v>0</v>
      </c>
      <c r="T50" s="271">
        <f t="shared" si="2"/>
        <v>465165297</v>
      </c>
      <c r="U50" s="271">
        <f t="shared" si="2"/>
        <v>226565625</v>
      </c>
      <c r="V50" s="271">
        <f t="shared" si="3"/>
        <v>167630101</v>
      </c>
      <c r="W50" s="271">
        <f t="shared" si="0"/>
        <v>859361023</v>
      </c>
      <c r="X50" s="271">
        <f t="shared" si="1"/>
        <v>983662</v>
      </c>
    </row>
    <row r="51" spans="1:24" x14ac:dyDescent="0.2">
      <c r="A51" s="267" t="s">
        <v>43</v>
      </c>
      <c r="B51" s="268">
        <v>20001</v>
      </c>
      <c r="C51" s="269">
        <v>183745637</v>
      </c>
      <c r="D51" s="269">
        <v>10192419</v>
      </c>
      <c r="E51" s="269">
        <v>426608</v>
      </c>
      <c r="F51" s="269">
        <v>1501513</v>
      </c>
      <c r="G51" s="269">
        <v>33761936</v>
      </c>
      <c r="H51" s="269">
        <v>6487</v>
      </c>
      <c r="I51" s="269">
        <v>0</v>
      </c>
      <c r="J51" s="269">
        <v>0</v>
      </c>
      <c r="K51" s="270"/>
      <c r="L51" s="270"/>
      <c r="M51" s="269">
        <v>0</v>
      </c>
      <c r="N51" s="269">
        <v>0</v>
      </c>
      <c r="O51" s="269">
        <v>0</v>
      </c>
      <c r="P51" s="269">
        <v>0</v>
      </c>
      <c r="Q51" s="269">
        <v>0</v>
      </c>
      <c r="R51" s="269">
        <v>0</v>
      </c>
      <c r="S51" s="269">
        <v>0</v>
      </c>
      <c r="T51" s="271">
        <f t="shared" si="2"/>
        <v>183745637</v>
      </c>
      <c r="U51" s="271">
        <f t="shared" si="2"/>
        <v>10192419</v>
      </c>
      <c r="V51" s="271">
        <f t="shared" si="3"/>
        <v>33768423</v>
      </c>
      <c r="W51" s="271">
        <f t="shared" si="0"/>
        <v>227706479</v>
      </c>
      <c r="X51" s="271">
        <f t="shared" si="1"/>
        <v>204173</v>
      </c>
    </row>
    <row r="52" spans="1:24" x14ac:dyDescent="0.2">
      <c r="A52" s="267" t="s">
        <v>118</v>
      </c>
      <c r="B52" s="268">
        <v>20003</v>
      </c>
      <c r="C52" s="269">
        <v>213666373</v>
      </c>
      <c r="D52" s="269">
        <v>18183745</v>
      </c>
      <c r="E52" s="269">
        <v>991640</v>
      </c>
      <c r="F52" s="269">
        <v>4116506</v>
      </c>
      <c r="G52" s="269">
        <v>19114475</v>
      </c>
      <c r="H52" s="269">
        <v>7490</v>
      </c>
      <c r="I52" s="269">
        <v>0</v>
      </c>
      <c r="J52" s="269">
        <v>0</v>
      </c>
      <c r="K52" s="270"/>
      <c r="L52" s="270"/>
      <c r="M52" s="269">
        <v>0</v>
      </c>
      <c r="N52" s="269">
        <v>0</v>
      </c>
      <c r="O52" s="269">
        <v>0</v>
      </c>
      <c r="P52" s="269">
        <v>0</v>
      </c>
      <c r="Q52" s="269">
        <v>0</v>
      </c>
      <c r="R52" s="269">
        <v>0</v>
      </c>
      <c r="S52" s="269">
        <v>0</v>
      </c>
      <c r="T52" s="271">
        <f t="shared" si="2"/>
        <v>213666373</v>
      </c>
      <c r="U52" s="271">
        <f t="shared" si="2"/>
        <v>18183745</v>
      </c>
      <c r="V52" s="271">
        <f t="shared" si="3"/>
        <v>19121965</v>
      </c>
      <c r="W52" s="271">
        <f t="shared" si="0"/>
        <v>250972083</v>
      </c>
      <c r="X52" s="271">
        <f t="shared" si="1"/>
        <v>192903</v>
      </c>
    </row>
    <row r="53" spans="1:24" x14ac:dyDescent="0.2">
      <c r="A53" s="267" t="s">
        <v>13</v>
      </c>
      <c r="B53" s="268">
        <v>21001</v>
      </c>
      <c r="C53" s="269">
        <v>187951747</v>
      </c>
      <c r="D53" s="269">
        <v>43313604</v>
      </c>
      <c r="E53" s="269">
        <v>327820</v>
      </c>
      <c r="F53" s="269">
        <v>1003397</v>
      </c>
      <c r="G53" s="269">
        <v>18931358</v>
      </c>
      <c r="H53" s="269">
        <v>1577723</v>
      </c>
      <c r="I53" s="269">
        <v>0</v>
      </c>
      <c r="J53" s="269">
        <v>0</v>
      </c>
      <c r="K53" s="270"/>
      <c r="L53" s="270"/>
      <c r="M53" s="269">
        <v>0</v>
      </c>
      <c r="N53" s="269">
        <v>0</v>
      </c>
      <c r="O53" s="269">
        <v>0</v>
      </c>
      <c r="P53" s="269">
        <v>0</v>
      </c>
      <c r="Q53" s="269">
        <v>0</v>
      </c>
      <c r="R53" s="269">
        <v>0</v>
      </c>
      <c r="S53" s="269">
        <v>0</v>
      </c>
      <c r="T53" s="271">
        <f t="shared" si="2"/>
        <v>187951747</v>
      </c>
      <c r="U53" s="271">
        <f t="shared" si="2"/>
        <v>43313604</v>
      </c>
      <c r="V53" s="271">
        <f t="shared" si="3"/>
        <v>20509081</v>
      </c>
      <c r="W53" s="271">
        <f t="shared" si="0"/>
        <v>251774432</v>
      </c>
      <c r="X53" s="271">
        <f t="shared" si="1"/>
        <v>213691</v>
      </c>
    </row>
    <row r="54" spans="1:24" x14ac:dyDescent="0.2">
      <c r="A54" s="267" t="s">
        <v>375</v>
      </c>
      <c r="B54" s="268">
        <v>21003</v>
      </c>
      <c r="C54" s="269">
        <v>507618412</v>
      </c>
      <c r="D54" s="269">
        <v>89998270</v>
      </c>
      <c r="E54" s="269">
        <v>345739</v>
      </c>
      <c r="F54" s="269">
        <v>2086249</v>
      </c>
      <c r="G54" s="269">
        <v>39964770</v>
      </c>
      <c r="H54" s="269">
        <v>1181675</v>
      </c>
      <c r="I54" s="269">
        <v>1</v>
      </c>
      <c r="J54" s="269">
        <v>0</v>
      </c>
      <c r="K54" s="270"/>
      <c r="L54" s="270"/>
      <c r="M54" s="269">
        <v>0</v>
      </c>
      <c r="N54" s="269">
        <v>0</v>
      </c>
      <c r="O54" s="269">
        <v>0</v>
      </c>
      <c r="P54" s="269">
        <v>0</v>
      </c>
      <c r="Q54" s="269">
        <v>0</v>
      </c>
      <c r="R54" s="269">
        <v>0</v>
      </c>
      <c r="S54" s="269">
        <v>0</v>
      </c>
      <c r="T54" s="271">
        <f t="shared" si="2"/>
        <v>507618413</v>
      </c>
      <c r="U54" s="271">
        <f t="shared" si="2"/>
        <v>89998270</v>
      </c>
      <c r="V54" s="271">
        <f t="shared" si="3"/>
        <v>41146445</v>
      </c>
      <c r="W54" s="271">
        <f t="shared" si="0"/>
        <v>638763128</v>
      </c>
      <c r="X54" s="271">
        <f t="shared" si="1"/>
        <v>506050</v>
      </c>
    </row>
    <row r="55" spans="1:24" x14ac:dyDescent="0.2">
      <c r="A55" s="267" t="s">
        <v>21</v>
      </c>
      <c r="B55" s="268">
        <v>22001</v>
      </c>
      <c r="C55" s="269">
        <v>245502690</v>
      </c>
      <c r="D55" s="269">
        <v>21618363</v>
      </c>
      <c r="E55" s="269">
        <v>381652</v>
      </c>
      <c r="F55" s="269">
        <v>817683</v>
      </c>
      <c r="G55" s="269">
        <v>27148322</v>
      </c>
      <c r="H55" s="269">
        <v>10911018</v>
      </c>
      <c r="I55" s="269">
        <v>1</v>
      </c>
      <c r="J55" s="269">
        <v>0</v>
      </c>
      <c r="K55" s="270"/>
      <c r="L55" s="270"/>
      <c r="M55" s="269">
        <v>0</v>
      </c>
      <c r="N55" s="269">
        <v>0</v>
      </c>
      <c r="O55" s="269">
        <v>0</v>
      </c>
      <c r="P55" s="269">
        <v>0</v>
      </c>
      <c r="Q55" s="269">
        <v>0</v>
      </c>
      <c r="R55" s="269">
        <v>0</v>
      </c>
      <c r="S55" s="269">
        <v>0</v>
      </c>
      <c r="T55" s="271">
        <f t="shared" si="2"/>
        <v>245502691</v>
      </c>
      <c r="U55" s="271">
        <f t="shared" si="2"/>
        <v>21618363</v>
      </c>
      <c r="V55" s="271">
        <f t="shared" si="3"/>
        <v>38059340</v>
      </c>
      <c r="W55" s="271">
        <f t="shared" si="0"/>
        <v>305180394</v>
      </c>
      <c r="X55" s="271">
        <f t="shared" si="1"/>
        <v>264476</v>
      </c>
    </row>
    <row r="56" spans="1:24" x14ac:dyDescent="0.2">
      <c r="A56" s="267" t="s">
        <v>45</v>
      </c>
      <c r="B56" s="268">
        <v>22005</v>
      </c>
      <c r="C56" s="269">
        <v>505494450</v>
      </c>
      <c r="D56" s="269">
        <v>24956119</v>
      </c>
      <c r="E56" s="269">
        <v>838910</v>
      </c>
      <c r="F56" s="269">
        <v>1582672</v>
      </c>
      <c r="G56" s="269">
        <v>31433647</v>
      </c>
      <c r="H56" s="269">
        <v>45338036</v>
      </c>
      <c r="I56" s="269">
        <v>2</v>
      </c>
      <c r="J56" s="269">
        <v>0</v>
      </c>
      <c r="K56" s="270"/>
      <c r="L56" s="270"/>
      <c r="M56" s="269">
        <v>0</v>
      </c>
      <c r="N56" s="269">
        <v>0</v>
      </c>
      <c r="O56" s="269">
        <v>0</v>
      </c>
      <c r="P56" s="269">
        <v>0</v>
      </c>
      <c r="Q56" s="269">
        <v>0</v>
      </c>
      <c r="R56" s="269">
        <v>0</v>
      </c>
      <c r="S56" s="269">
        <v>0</v>
      </c>
      <c r="T56" s="271">
        <f t="shared" si="2"/>
        <v>505494452</v>
      </c>
      <c r="U56" s="271">
        <f t="shared" si="2"/>
        <v>24956119</v>
      </c>
      <c r="V56" s="271">
        <f t="shared" si="3"/>
        <v>76771683</v>
      </c>
      <c r="W56" s="271">
        <f t="shared" si="0"/>
        <v>607222254</v>
      </c>
      <c r="X56" s="271">
        <f t="shared" si="1"/>
        <v>515789</v>
      </c>
    </row>
    <row r="57" spans="1:24" x14ac:dyDescent="0.2">
      <c r="A57" s="267" t="s">
        <v>74</v>
      </c>
      <c r="B57" s="268">
        <v>22006</v>
      </c>
      <c r="C57" s="269">
        <v>547514003</v>
      </c>
      <c r="D57" s="269">
        <v>162527445</v>
      </c>
      <c r="E57" s="269">
        <v>1917086</v>
      </c>
      <c r="F57" s="269">
        <v>5083728</v>
      </c>
      <c r="G57" s="269">
        <v>138028024</v>
      </c>
      <c r="H57" s="269">
        <v>38810383</v>
      </c>
      <c r="I57" s="269">
        <v>0</v>
      </c>
      <c r="J57" s="269">
        <v>0</v>
      </c>
      <c r="K57" s="270"/>
      <c r="L57" s="270"/>
      <c r="M57" s="269">
        <v>0</v>
      </c>
      <c r="N57" s="269">
        <v>0</v>
      </c>
      <c r="O57" s="269">
        <v>0</v>
      </c>
      <c r="P57" s="269">
        <v>0</v>
      </c>
      <c r="Q57" s="269">
        <v>0</v>
      </c>
      <c r="R57" s="269">
        <v>0</v>
      </c>
      <c r="S57" s="269">
        <v>0</v>
      </c>
      <c r="T57" s="271">
        <f t="shared" si="2"/>
        <v>547514003</v>
      </c>
      <c r="U57" s="271">
        <f t="shared" si="2"/>
        <v>162527445</v>
      </c>
      <c r="V57" s="271">
        <f t="shared" si="3"/>
        <v>176838407</v>
      </c>
      <c r="W57" s="271">
        <f t="shared" si="0"/>
        <v>886879855</v>
      </c>
      <c r="X57" s="271">
        <f t="shared" si="1"/>
        <v>973351</v>
      </c>
    </row>
    <row r="58" spans="1:24" x14ac:dyDescent="0.2">
      <c r="A58" s="267" t="s">
        <v>44</v>
      </c>
      <c r="B58" s="268">
        <v>23001</v>
      </c>
      <c r="C58" s="269">
        <v>58577473</v>
      </c>
      <c r="D58" s="269">
        <v>47279593</v>
      </c>
      <c r="E58" s="269">
        <v>1744975</v>
      </c>
      <c r="F58" s="269">
        <v>3837548</v>
      </c>
      <c r="G58" s="269">
        <v>49181749</v>
      </c>
      <c r="H58" s="269">
        <v>76659879</v>
      </c>
      <c r="I58" s="269">
        <v>14</v>
      </c>
      <c r="J58" s="269">
        <v>0</v>
      </c>
      <c r="K58" s="270"/>
      <c r="L58" s="270"/>
      <c r="M58" s="269">
        <v>4</v>
      </c>
      <c r="N58" s="269">
        <v>0</v>
      </c>
      <c r="O58" s="269">
        <v>0</v>
      </c>
      <c r="P58" s="269">
        <v>0</v>
      </c>
      <c r="Q58" s="269">
        <v>0</v>
      </c>
      <c r="R58" s="269">
        <v>0</v>
      </c>
      <c r="S58" s="269">
        <v>0</v>
      </c>
      <c r="T58" s="271">
        <f t="shared" si="2"/>
        <v>58577487</v>
      </c>
      <c r="U58" s="271">
        <f t="shared" si="2"/>
        <v>47279593</v>
      </c>
      <c r="V58" s="271">
        <f t="shared" si="3"/>
        <v>125841632</v>
      </c>
      <c r="W58" s="271">
        <f t="shared" si="0"/>
        <v>231698712</v>
      </c>
      <c r="X58" s="271">
        <f t="shared" si="1"/>
        <v>420355</v>
      </c>
    </row>
    <row r="59" spans="1:24" x14ac:dyDescent="0.2">
      <c r="A59" s="267" t="s">
        <v>70</v>
      </c>
      <c r="B59" s="268">
        <v>23002</v>
      </c>
      <c r="C59" s="269">
        <v>61048397</v>
      </c>
      <c r="D59" s="269">
        <v>528025359</v>
      </c>
      <c r="E59" s="269">
        <v>24948059</v>
      </c>
      <c r="F59" s="269">
        <v>30533761</v>
      </c>
      <c r="G59" s="269">
        <v>349081755</v>
      </c>
      <c r="H59" s="269">
        <v>20494298</v>
      </c>
      <c r="I59" s="269">
        <v>47789</v>
      </c>
      <c r="J59" s="269">
        <v>0</v>
      </c>
      <c r="K59" s="270"/>
      <c r="L59" s="270"/>
      <c r="M59" s="269">
        <v>1504485</v>
      </c>
      <c r="N59" s="269">
        <v>0</v>
      </c>
      <c r="O59" s="269">
        <v>0</v>
      </c>
      <c r="P59" s="269">
        <v>0</v>
      </c>
      <c r="Q59" s="269">
        <v>0</v>
      </c>
      <c r="R59" s="269">
        <v>0</v>
      </c>
      <c r="S59" s="269">
        <v>0</v>
      </c>
      <c r="T59" s="271">
        <f t="shared" si="2"/>
        <v>61096186</v>
      </c>
      <c r="U59" s="271">
        <f t="shared" si="2"/>
        <v>528025359</v>
      </c>
      <c r="V59" s="271">
        <f t="shared" si="3"/>
        <v>371080538</v>
      </c>
      <c r="W59" s="271">
        <f t="shared" si="0"/>
        <v>960202083</v>
      </c>
      <c r="X59" s="271">
        <f t="shared" si="1"/>
        <v>1666001</v>
      </c>
    </row>
    <row r="60" spans="1:24" x14ac:dyDescent="0.2">
      <c r="A60" s="267" t="s">
        <v>99</v>
      </c>
      <c r="B60" s="268">
        <v>23003</v>
      </c>
      <c r="C60" s="269">
        <v>62689206</v>
      </c>
      <c r="D60" s="269">
        <v>19289012</v>
      </c>
      <c r="E60" s="269">
        <v>860867</v>
      </c>
      <c r="F60" s="269">
        <v>3381512</v>
      </c>
      <c r="G60" s="269">
        <v>10889432</v>
      </c>
      <c r="H60" s="269">
        <v>4724006</v>
      </c>
      <c r="I60" s="269">
        <v>18139</v>
      </c>
      <c r="J60" s="269">
        <v>0</v>
      </c>
      <c r="K60" s="270"/>
      <c r="L60" s="270"/>
      <c r="M60" s="269">
        <v>3</v>
      </c>
      <c r="N60" s="269">
        <v>0</v>
      </c>
      <c r="O60" s="269">
        <v>0</v>
      </c>
      <c r="P60" s="269">
        <v>0</v>
      </c>
      <c r="Q60" s="269">
        <v>0</v>
      </c>
      <c r="R60" s="269">
        <v>0</v>
      </c>
      <c r="S60" s="269">
        <v>0</v>
      </c>
      <c r="T60" s="271">
        <f t="shared" si="2"/>
        <v>62707345</v>
      </c>
      <c r="U60" s="271">
        <f t="shared" si="2"/>
        <v>19289012</v>
      </c>
      <c r="V60" s="271">
        <f t="shared" si="3"/>
        <v>15613441</v>
      </c>
      <c r="W60" s="271">
        <f t="shared" si="0"/>
        <v>97609798</v>
      </c>
      <c r="X60" s="271">
        <f t="shared" si="1"/>
        <v>100239</v>
      </c>
    </row>
    <row r="61" spans="1:24" x14ac:dyDescent="0.2">
      <c r="A61" s="267" t="s">
        <v>370</v>
      </c>
      <c r="B61" s="268">
        <v>24004</v>
      </c>
      <c r="C61" s="269">
        <v>915448706</v>
      </c>
      <c r="D61" s="269">
        <v>48284855</v>
      </c>
      <c r="E61" s="269">
        <v>542315</v>
      </c>
      <c r="F61" s="269">
        <v>1557039</v>
      </c>
      <c r="G61" s="269">
        <v>24937001</v>
      </c>
      <c r="H61" s="269">
        <v>19105440</v>
      </c>
      <c r="I61" s="269">
        <v>2</v>
      </c>
      <c r="J61" s="269">
        <v>0</v>
      </c>
      <c r="K61" s="270"/>
      <c r="L61" s="270"/>
      <c r="M61" s="269">
        <v>1</v>
      </c>
      <c r="N61" s="269">
        <v>0</v>
      </c>
      <c r="O61" s="269">
        <v>1321011</v>
      </c>
      <c r="P61" s="269">
        <v>0</v>
      </c>
      <c r="Q61" s="269">
        <v>0</v>
      </c>
      <c r="R61" s="269">
        <v>22505</v>
      </c>
      <c r="S61" s="269">
        <v>0</v>
      </c>
      <c r="T61" s="271">
        <f t="shared" si="2"/>
        <v>915448708</v>
      </c>
      <c r="U61" s="271">
        <f t="shared" si="2"/>
        <v>49605866</v>
      </c>
      <c r="V61" s="271">
        <f t="shared" si="3"/>
        <v>44064947</v>
      </c>
      <c r="W61" s="271">
        <f t="shared" si="0"/>
        <v>1009119521</v>
      </c>
      <c r="X61" s="271">
        <f t="shared" si="1"/>
        <v>692205</v>
      </c>
    </row>
    <row r="62" spans="1:24" x14ac:dyDescent="0.2">
      <c r="A62" s="267" t="s">
        <v>92</v>
      </c>
      <c r="B62" s="268">
        <v>25004</v>
      </c>
      <c r="C62" s="269">
        <v>614596445</v>
      </c>
      <c r="D62" s="269">
        <v>444724347</v>
      </c>
      <c r="E62" s="269">
        <v>2703755</v>
      </c>
      <c r="F62" s="269">
        <v>4852479</v>
      </c>
      <c r="G62" s="269">
        <v>330786956</v>
      </c>
      <c r="H62" s="269">
        <v>143631373</v>
      </c>
      <c r="I62" s="269">
        <v>0</v>
      </c>
      <c r="J62" s="269">
        <v>0</v>
      </c>
      <c r="K62" s="270"/>
      <c r="L62" s="270"/>
      <c r="M62" s="269">
        <v>1</v>
      </c>
      <c r="N62" s="269">
        <v>0</v>
      </c>
      <c r="O62" s="269">
        <v>0</v>
      </c>
      <c r="P62" s="269">
        <v>0</v>
      </c>
      <c r="Q62" s="269">
        <v>0</v>
      </c>
      <c r="R62" s="269">
        <v>0</v>
      </c>
      <c r="S62" s="269">
        <v>0</v>
      </c>
      <c r="T62" s="271">
        <f t="shared" si="2"/>
        <v>614596445</v>
      </c>
      <c r="U62" s="271">
        <f t="shared" si="2"/>
        <v>444724347</v>
      </c>
      <c r="V62" s="271">
        <f t="shared" si="3"/>
        <v>474418330</v>
      </c>
      <c r="W62" s="271">
        <f t="shared" si="0"/>
        <v>1533739122</v>
      </c>
      <c r="X62" s="271">
        <f t="shared" si="1"/>
        <v>2141715</v>
      </c>
    </row>
    <row r="63" spans="1:24" x14ac:dyDescent="0.2">
      <c r="A63" s="267" t="s">
        <v>26</v>
      </c>
      <c r="B63" s="268">
        <v>26002</v>
      </c>
      <c r="C63" s="269">
        <v>177701295</v>
      </c>
      <c r="D63" s="269">
        <v>45613269</v>
      </c>
      <c r="E63" s="269">
        <v>814834</v>
      </c>
      <c r="F63" s="269">
        <v>1989381</v>
      </c>
      <c r="G63" s="269">
        <v>31841268</v>
      </c>
      <c r="H63" s="269">
        <v>134</v>
      </c>
      <c r="I63" s="269">
        <v>0</v>
      </c>
      <c r="J63" s="269">
        <v>0</v>
      </c>
      <c r="K63" s="270"/>
      <c r="L63" s="270"/>
      <c r="M63" s="269">
        <v>0</v>
      </c>
      <c r="N63" s="269">
        <v>0</v>
      </c>
      <c r="O63" s="269">
        <v>0</v>
      </c>
      <c r="P63" s="269">
        <v>0</v>
      </c>
      <c r="Q63" s="269">
        <v>0</v>
      </c>
      <c r="R63" s="269">
        <v>0</v>
      </c>
      <c r="S63" s="269">
        <v>0</v>
      </c>
      <c r="T63" s="271">
        <f t="shared" si="2"/>
        <v>177701295</v>
      </c>
      <c r="U63" s="271">
        <f t="shared" si="2"/>
        <v>45613269</v>
      </c>
      <c r="V63" s="271">
        <f t="shared" si="3"/>
        <v>31841402</v>
      </c>
      <c r="W63" s="271">
        <f t="shared" si="0"/>
        <v>255155966</v>
      </c>
      <c r="X63" s="271">
        <f t="shared" si="1"/>
        <v>240347</v>
      </c>
    </row>
    <row r="64" spans="1:24" x14ac:dyDescent="0.2">
      <c r="A64" s="267" t="s">
        <v>60</v>
      </c>
      <c r="B64" s="268">
        <v>26004</v>
      </c>
      <c r="C64" s="269">
        <v>306596916</v>
      </c>
      <c r="D64" s="269">
        <v>79799502</v>
      </c>
      <c r="E64" s="269">
        <v>1404477</v>
      </c>
      <c r="F64" s="269">
        <v>3891489</v>
      </c>
      <c r="G64" s="269">
        <v>72478040</v>
      </c>
      <c r="H64" s="269">
        <v>557</v>
      </c>
      <c r="I64" s="269">
        <v>0</v>
      </c>
      <c r="J64" s="269">
        <v>0</v>
      </c>
      <c r="K64" s="270"/>
      <c r="L64" s="270"/>
      <c r="M64" s="269">
        <v>0</v>
      </c>
      <c r="N64" s="269">
        <v>0</v>
      </c>
      <c r="O64" s="269">
        <v>0</v>
      </c>
      <c r="P64" s="269">
        <v>0</v>
      </c>
      <c r="Q64" s="269">
        <v>0</v>
      </c>
      <c r="R64" s="269">
        <v>0</v>
      </c>
      <c r="S64" s="269">
        <v>0</v>
      </c>
      <c r="T64" s="271">
        <f t="shared" si="2"/>
        <v>306596916</v>
      </c>
      <c r="U64" s="271">
        <f t="shared" si="2"/>
        <v>79799502</v>
      </c>
      <c r="V64" s="271">
        <f t="shared" si="3"/>
        <v>72478597</v>
      </c>
      <c r="W64" s="271">
        <f t="shared" si="0"/>
        <v>458875015</v>
      </c>
      <c r="X64" s="271">
        <f t="shared" si="1"/>
        <v>461771</v>
      </c>
    </row>
    <row r="65" spans="1:24" x14ac:dyDescent="0.2">
      <c r="A65" s="267" t="s">
        <v>113</v>
      </c>
      <c r="B65" s="268">
        <v>26005</v>
      </c>
      <c r="C65" s="269">
        <v>139069936</v>
      </c>
      <c r="D65" s="269">
        <v>23926534</v>
      </c>
      <c r="E65" s="269">
        <v>625301</v>
      </c>
      <c r="F65" s="269">
        <v>1293514</v>
      </c>
      <c r="G65" s="269">
        <v>28446761</v>
      </c>
      <c r="H65" s="269">
        <v>0</v>
      </c>
      <c r="I65" s="269">
        <v>0</v>
      </c>
      <c r="J65" s="269">
        <v>0</v>
      </c>
      <c r="K65" s="270"/>
      <c r="L65" s="270"/>
      <c r="M65" s="269">
        <v>0</v>
      </c>
      <c r="N65" s="269">
        <v>0</v>
      </c>
      <c r="O65" s="269">
        <v>0</v>
      </c>
      <c r="P65" s="269">
        <v>0</v>
      </c>
      <c r="Q65" s="269">
        <v>0</v>
      </c>
      <c r="R65" s="269">
        <v>0</v>
      </c>
      <c r="S65" s="269">
        <v>0</v>
      </c>
      <c r="T65" s="271">
        <f t="shared" si="2"/>
        <v>139069936</v>
      </c>
      <c r="U65" s="271">
        <f t="shared" si="2"/>
        <v>23926534</v>
      </c>
      <c r="V65" s="271">
        <f t="shared" si="3"/>
        <v>28446761</v>
      </c>
      <c r="W65" s="271">
        <f t="shared" si="0"/>
        <v>191443231</v>
      </c>
      <c r="X65" s="271">
        <f t="shared" si="1"/>
        <v>182468</v>
      </c>
    </row>
    <row r="66" spans="1:24" x14ac:dyDescent="0.2">
      <c r="A66" s="267" t="s">
        <v>62</v>
      </c>
      <c r="B66" s="268">
        <v>27001</v>
      </c>
      <c r="C66" s="269">
        <v>444037091</v>
      </c>
      <c r="D66" s="269">
        <v>67823673</v>
      </c>
      <c r="E66" s="269">
        <v>3870580</v>
      </c>
      <c r="F66" s="269">
        <v>8206211</v>
      </c>
      <c r="G66" s="269">
        <v>46316097</v>
      </c>
      <c r="H66" s="269">
        <v>55378</v>
      </c>
      <c r="I66" s="269">
        <v>0</v>
      </c>
      <c r="J66" s="269">
        <v>1</v>
      </c>
      <c r="K66" s="270"/>
      <c r="L66" s="270"/>
      <c r="M66" s="269">
        <v>35657</v>
      </c>
      <c r="N66" s="269">
        <v>0</v>
      </c>
      <c r="O66" s="269">
        <v>0</v>
      </c>
      <c r="P66" s="269">
        <v>0</v>
      </c>
      <c r="Q66" s="269">
        <v>0</v>
      </c>
      <c r="R66" s="269">
        <v>0</v>
      </c>
      <c r="S66" s="269">
        <v>0</v>
      </c>
      <c r="T66" s="271">
        <f t="shared" si="2"/>
        <v>444037091</v>
      </c>
      <c r="U66" s="271">
        <f t="shared" si="2"/>
        <v>67823674</v>
      </c>
      <c r="V66" s="271">
        <f t="shared" si="3"/>
        <v>46407132</v>
      </c>
      <c r="W66" s="271">
        <f t="shared" si="0"/>
        <v>558267897</v>
      </c>
      <c r="X66" s="271">
        <f t="shared" si="1"/>
        <v>456075</v>
      </c>
    </row>
    <row r="67" spans="1:24" x14ac:dyDescent="0.2">
      <c r="A67" s="267" t="s">
        <v>29</v>
      </c>
      <c r="B67" s="268">
        <v>28001</v>
      </c>
      <c r="C67" s="269">
        <v>212022725</v>
      </c>
      <c r="D67" s="269">
        <v>99762681</v>
      </c>
      <c r="E67" s="269">
        <v>447829</v>
      </c>
      <c r="F67" s="269">
        <v>685569</v>
      </c>
      <c r="G67" s="269">
        <v>29409475</v>
      </c>
      <c r="H67" s="269">
        <v>6850035</v>
      </c>
      <c r="I67" s="269">
        <v>75417</v>
      </c>
      <c r="J67" s="269">
        <v>0</v>
      </c>
      <c r="K67" s="270"/>
      <c r="L67" s="270"/>
      <c r="M67" s="269">
        <v>1</v>
      </c>
      <c r="N67" s="269">
        <v>0</v>
      </c>
      <c r="O67" s="269">
        <v>0</v>
      </c>
      <c r="P67" s="269">
        <v>0</v>
      </c>
      <c r="Q67" s="269">
        <v>0</v>
      </c>
      <c r="R67" s="269">
        <v>0</v>
      </c>
      <c r="S67" s="269">
        <v>0</v>
      </c>
      <c r="T67" s="271">
        <f t="shared" si="2"/>
        <v>212098142</v>
      </c>
      <c r="U67" s="271">
        <f t="shared" si="2"/>
        <v>99762681</v>
      </c>
      <c r="V67" s="271">
        <f t="shared" si="3"/>
        <v>36259511</v>
      </c>
      <c r="W67" s="271">
        <f t="shared" si="0"/>
        <v>348120334</v>
      </c>
      <c r="X67" s="271">
        <f t="shared" si="1"/>
        <v>339381</v>
      </c>
    </row>
    <row r="68" spans="1:24" x14ac:dyDescent="0.2">
      <c r="A68" s="267" t="s">
        <v>49</v>
      </c>
      <c r="B68" s="268">
        <v>28002</v>
      </c>
      <c r="C68" s="269">
        <v>233028637</v>
      </c>
      <c r="D68" s="269">
        <v>131603286</v>
      </c>
      <c r="E68" s="269">
        <v>730915</v>
      </c>
      <c r="F68" s="269">
        <v>981062</v>
      </c>
      <c r="G68" s="269">
        <v>143188193</v>
      </c>
      <c r="H68" s="269">
        <v>14332639</v>
      </c>
      <c r="I68" s="269">
        <v>1</v>
      </c>
      <c r="J68" s="269">
        <v>0</v>
      </c>
      <c r="K68" s="270"/>
      <c r="L68" s="270"/>
      <c r="M68" s="269">
        <v>1</v>
      </c>
      <c r="N68" s="269">
        <v>0</v>
      </c>
      <c r="O68" s="269">
        <v>0</v>
      </c>
      <c r="P68" s="269">
        <v>0</v>
      </c>
      <c r="Q68" s="269">
        <v>0</v>
      </c>
      <c r="R68" s="269">
        <v>0</v>
      </c>
      <c r="S68" s="269">
        <v>0</v>
      </c>
      <c r="T68" s="271">
        <f t="shared" si="2"/>
        <v>233028638</v>
      </c>
      <c r="U68" s="271">
        <f t="shared" si="2"/>
        <v>131603286</v>
      </c>
      <c r="V68" s="271">
        <f t="shared" si="3"/>
        <v>157520833</v>
      </c>
      <c r="W68" s="271">
        <f t="shared" si="0"/>
        <v>522152757</v>
      </c>
      <c r="X68" s="271">
        <f t="shared" si="1"/>
        <v>707188</v>
      </c>
    </row>
    <row r="69" spans="1:24" x14ac:dyDescent="0.2">
      <c r="A69" s="267" t="s">
        <v>63</v>
      </c>
      <c r="B69" s="268">
        <v>28003</v>
      </c>
      <c r="C69" s="269">
        <v>557406428</v>
      </c>
      <c r="D69" s="269">
        <v>264436095</v>
      </c>
      <c r="E69" s="269">
        <v>542112</v>
      </c>
      <c r="F69" s="269">
        <v>1789723</v>
      </c>
      <c r="G69" s="269">
        <v>197563590</v>
      </c>
      <c r="H69" s="269">
        <v>8557439</v>
      </c>
      <c r="I69" s="269">
        <v>1</v>
      </c>
      <c r="J69" s="269">
        <v>0</v>
      </c>
      <c r="K69" s="270"/>
      <c r="L69" s="270"/>
      <c r="M69" s="269">
        <v>1</v>
      </c>
      <c r="N69" s="269">
        <v>0</v>
      </c>
      <c r="O69" s="269">
        <v>0</v>
      </c>
      <c r="P69" s="269">
        <v>0</v>
      </c>
      <c r="Q69" s="269">
        <v>0</v>
      </c>
      <c r="R69" s="269">
        <v>0</v>
      </c>
      <c r="S69" s="269">
        <v>0</v>
      </c>
      <c r="T69" s="271">
        <f t="shared" si="2"/>
        <v>557406429</v>
      </c>
      <c r="U69" s="271">
        <f t="shared" si="2"/>
        <v>264436095</v>
      </c>
      <c r="V69" s="271">
        <f t="shared" si="3"/>
        <v>206121030</v>
      </c>
      <c r="W69" s="271">
        <f t="shared" si="0"/>
        <v>1027963554</v>
      </c>
      <c r="X69" s="271">
        <f t="shared" si="1"/>
        <v>1183515</v>
      </c>
    </row>
    <row r="70" spans="1:24" x14ac:dyDescent="0.2">
      <c r="A70" s="267" t="s">
        <v>461</v>
      </c>
      <c r="B70" s="268">
        <v>29004</v>
      </c>
      <c r="C70" s="269">
        <v>1318865214</v>
      </c>
      <c r="D70" s="269">
        <v>117776956</v>
      </c>
      <c r="E70" s="269">
        <v>1182514</v>
      </c>
      <c r="F70" s="269">
        <v>2852345</v>
      </c>
      <c r="G70" s="269">
        <v>82408734</v>
      </c>
      <c r="H70" s="269">
        <v>1595398</v>
      </c>
      <c r="I70" s="269">
        <v>3</v>
      </c>
      <c r="J70" s="269">
        <v>0</v>
      </c>
      <c r="K70" s="270"/>
      <c r="L70" s="270"/>
      <c r="M70" s="269">
        <v>0</v>
      </c>
      <c r="N70" s="269">
        <v>0</v>
      </c>
      <c r="O70" s="269">
        <v>0</v>
      </c>
      <c r="P70" s="269">
        <v>0</v>
      </c>
      <c r="Q70" s="269">
        <v>0</v>
      </c>
      <c r="R70" s="269">
        <v>0</v>
      </c>
      <c r="S70" s="269">
        <v>0</v>
      </c>
      <c r="T70" s="271">
        <f t="shared" si="2"/>
        <v>1318865217</v>
      </c>
      <c r="U70" s="271">
        <f t="shared" si="2"/>
        <v>117776956</v>
      </c>
      <c r="V70" s="271">
        <f t="shared" si="3"/>
        <v>84004132</v>
      </c>
      <c r="W70" s="271">
        <f t="shared" ref="W70:W133" si="4">SUM(T70:V70)</f>
        <v>1520646305</v>
      </c>
      <c r="X70" s="271">
        <f t="shared" si="1"/>
        <v>1109016</v>
      </c>
    </row>
    <row r="71" spans="1:24" x14ac:dyDescent="0.2">
      <c r="A71" s="267" t="s">
        <v>64</v>
      </c>
      <c r="B71" s="268">
        <v>30001</v>
      </c>
      <c r="C71" s="269">
        <v>339284996</v>
      </c>
      <c r="D71" s="269">
        <v>111460362</v>
      </c>
      <c r="E71" s="269">
        <v>372827</v>
      </c>
      <c r="F71" s="269">
        <v>2388031</v>
      </c>
      <c r="G71" s="269">
        <v>34134720</v>
      </c>
      <c r="H71" s="269">
        <v>15084403</v>
      </c>
      <c r="I71" s="269">
        <v>0</v>
      </c>
      <c r="J71" s="269">
        <v>0</v>
      </c>
      <c r="K71" s="270"/>
      <c r="L71" s="270"/>
      <c r="M71" s="269">
        <v>0</v>
      </c>
      <c r="N71" s="269">
        <v>0</v>
      </c>
      <c r="O71" s="269">
        <v>3082940</v>
      </c>
      <c r="P71" s="269">
        <v>0</v>
      </c>
      <c r="Q71" s="269">
        <v>0</v>
      </c>
      <c r="R71" s="269">
        <v>878300</v>
      </c>
      <c r="S71" s="269">
        <v>0</v>
      </c>
      <c r="T71" s="271">
        <f t="shared" si="2"/>
        <v>339284996</v>
      </c>
      <c r="U71" s="271">
        <f t="shared" si="2"/>
        <v>114543302</v>
      </c>
      <c r="V71" s="271">
        <f t="shared" si="3"/>
        <v>50097423</v>
      </c>
      <c r="W71" s="271">
        <f t="shared" si="4"/>
        <v>503925721</v>
      </c>
      <c r="X71" s="271">
        <f t="shared" ref="X71:X134" si="5">ROUND(((T71*1.125)/1000+(U71*2.518)/1000+(V71*5.211)/1000)/2,0)</f>
        <v>465587</v>
      </c>
    </row>
    <row r="72" spans="1:24" x14ac:dyDescent="0.2">
      <c r="A72" s="267" t="s">
        <v>23</v>
      </c>
      <c r="B72" s="268">
        <v>30003</v>
      </c>
      <c r="C72" s="269">
        <v>324303402</v>
      </c>
      <c r="D72" s="269">
        <v>92106830</v>
      </c>
      <c r="E72" s="269">
        <v>134344</v>
      </c>
      <c r="F72" s="269">
        <v>628331</v>
      </c>
      <c r="G72" s="269">
        <v>40836678</v>
      </c>
      <c r="H72" s="269">
        <v>17331089</v>
      </c>
      <c r="I72" s="269">
        <v>0</v>
      </c>
      <c r="J72" s="269">
        <v>0</v>
      </c>
      <c r="K72" s="270"/>
      <c r="L72" s="270"/>
      <c r="M72" s="269">
        <v>0</v>
      </c>
      <c r="N72" s="269">
        <v>0</v>
      </c>
      <c r="O72" s="269">
        <v>0</v>
      </c>
      <c r="P72" s="269">
        <v>0</v>
      </c>
      <c r="Q72" s="269">
        <v>0</v>
      </c>
      <c r="R72" s="269">
        <v>0</v>
      </c>
      <c r="S72" s="269">
        <v>0</v>
      </c>
      <c r="T72" s="271">
        <f t="shared" ref="T72:U135" si="6">C72+I72+N72</f>
        <v>324303402</v>
      </c>
      <c r="U72" s="271">
        <f t="shared" si="6"/>
        <v>92106830</v>
      </c>
      <c r="V72" s="271">
        <f t="shared" ref="V72:V135" si="7">G72+H72+M72+R72+S72</f>
        <v>58167767</v>
      </c>
      <c r="W72" s="271">
        <f t="shared" si="4"/>
        <v>474577999</v>
      </c>
      <c r="X72" s="271">
        <f t="shared" si="5"/>
        <v>449939</v>
      </c>
    </row>
    <row r="73" spans="1:24" x14ac:dyDescent="0.2">
      <c r="A73" s="267" t="s">
        <v>65</v>
      </c>
      <c r="B73" s="268">
        <v>31001</v>
      </c>
      <c r="C73" s="269">
        <v>306773684</v>
      </c>
      <c r="D73" s="269">
        <v>43580799</v>
      </c>
      <c r="E73" s="269">
        <v>6410278</v>
      </c>
      <c r="F73" s="269">
        <v>10720718</v>
      </c>
      <c r="G73" s="269">
        <v>56308495</v>
      </c>
      <c r="H73" s="269">
        <v>6023345</v>
      </c>
      <c r="I73" s="269">
        <v>0</v>
      </c>
      <c r="J73" s="269">
        <v>0</v>
      </c>
      <c r="K73" s="270"/>
      <c r="L73" s="270"/>
      <c r="M73" s="269">
        <v>0</v>
      </c>
      <c r="N73" s="269">
        <v>0</v>
      </c>
      <c r="O73" s="269">
        <v>0</v>
      </c>
      <c r="P73" s="269">
        <v>0</v>
      </c>
      <c r="Q73" s="269">
        <v>0</v>
      </c>
      <c r="R73" s="269">
        <v>0</v>
      </c>
      <c r="S73" s="269">
        <v>0</v>
      </c>
      <c r="T73" s="271">
        <f t="shared" si="6"/>
        <v>306773684</v>
      </c>
      <c r="U73" s="271">
        <f t="shared" si="6"/>
        <v>43580799</v>
      </c>
      <c r="V73" s="271">
        <f t="shared" si="7"/>
        <v>62331840</v>
      </c>
      <c r="W73" s="271">
        <f t="shared" si="4"/>
        <v>412686323</v>
      </c>
      <c r="X73" s="271">
        <f t="shared" si="5"/>
        <v>389834</v>
      </c>
    </row>
    <row r="74" spans="1:24" x14ac:dyDescent="0.2">
      <c r="A74" s="267" t="s">
        <v>102</v>
      </c>
      <c r="B74" s="268">
        <v>32002</v>
      </c>
      <c r="C74" s="269">
        <v>241179185</v>
      </c>
      <c r="D74" s="269">
        <v>1190472902</v>
      </c>
      <c r="E74" s="269">
        <v>8964888</v>
      </c>
      <c r="F74" s="269">
        <v>33910238</v>
      </c>
      <c r="G74" s="269">
        <v>598169122</v>
      </c>
      <c r="H74" s="269">
        <v>4501699</v>
      </c>
      <c r="I74" s="269">
        <v>1</v>
      </c>
      <c r="J74" s="269">
        <v>0</v>
      </c>
      <c r="K74" s="270"/>
      <c r="L74" s="270"/>
      <c r="M74" s="269">
        <v>2</v>
      </c>
      <c r="N74" s="269">
        <v>0</v>
      </c>
      <c r="O74" s="269">
        <v>0</v>
      </c>
      <c r="P74" s="269">
        <v>0</v>
      </c>
      <c r="Q74" s="269">
        <v>0</v>
      </c>
      <c r="R74" s="269">
        <v>0</v>
      </c>
      <c r="S74" s="269">
        <v>0</v>
      </c>
      <c r="T74" s="271">
        <f t="shared" si="6"/>
        <v>241179186</v>
      </c>
      <c r="U74" s="271">
        <f t="shared" si="6"/>
        <v>1190472902</v>
      </c>
      <c r="V74" s="271">
        <f t="shared" si="7"/>
        <v>602670823</v>
      </c>
      <c r="W74" s="271">
        <f t="shared" si="4"/>
        <v>2034322911</v>
      </c>
      <c r="X74" s="271">
        <f t="shared" si="5"/>
        <v>3204728</v>
      </c>
    </row>
    <row r="75" spans="1:24" x14ac:dyDescent="0.2">
      <c r="A75" s="267" t="s">
        <v>56</v>
      </c>
      <c r="B75" s="268">
        <v>33001</v>
      </c>
      <c r="C75" s="269">
        <v>330360144</v>
      </c>
      <c r="D75" s="269">
        <v>144696188</v>
      </c>
      <c r="E75" s="269">
        <v>290642</v>
      </c>
      <c r="F75" s="269">
        <v>1329633</v>
      </c>
      <c r="G75" s="269">
        <v>51181104</v>
      </c>
      <c r="H75" s="269">
        <v>16956868</v>
      </c>
      <c r="I75" s="269">
        <v>0</v>
      </c>
      <c r="J75" s="269">
        <v>0</v>
      </c>
      <c r="K75" s="270"/>
      <c r="L75" s="270"/>
      <c r="M75" s="269">
        <v>4</v>
      </c>
      <c r="N75" s="269">
        <v>0</v>
      </c>
      <c r="O75" s="269">
        <v>0</v>
      </c>
      <c r="P75" s="269">
        <v>0</v>
      </c>
      <c r="Q75" s="269">
        <v>0</v>
      </c>
      <c r="R75" s="269">
        <v>0</v>
      </c>
      <c r="S75" s="269">
        <v>0</v>
      </c>
      <c r="T75" s="271">
        <f t="shared" si="6"/>
        <v>330360144</v>
      </c>
      <c r="U75" s="271">
        <f t="shared" si="6"/>
        <v>144696188</v>
      </c>
      <c r="V75" s="271">
        <f t="shared" si="7"/>
        <v>68137976</v>
      </c>
      <c r="W75" s="271">
        <f t="shared" si="4"/>
        <v>543194308</v>
      </c>
      <c r="X75" s="271">
        <f t="shared" si="5"/>
        <v>545534</v>
      </c>
    </row>
    <row r="76" spans="1:24" x14ac:dyDescent="0.2">
      <c r="A76" s="267" t="s">
        <v>91</v>
      </c>
      <c r="B76" s="268">
        <v>33002</v>
      </c>
      <c r="C76" s="269">
        <v>230314588</v>
      </c>
      <c r="D76" s="269">
        <v>58292650</v>
      </c>
      <c r="E76" s="269">
        <v>110412</v>
      </c>
      <c r="F76" s="269">
        <v>595379</v>
      </c>
      <c r="G76" s="269">
        <v>22601031</v>
      </c>
      <c r="H76" s="269">
        <v>27608453</v>
      </c>
      <c r="I76" s="269">
        <v>0</v>
      </c>
      <c r="J76" s="269">
        <v>0</v>
      </c>
      <c r="K76" s="270"/>
      <c r="L76" s="270"/>
      <c r="M76" s="269">
        <v>0</v>
      </c>
      <c r="N76" s="269">
        <v>0</v>
      </c>
      <c r="O76" s="269">
        <v>0</v>
      </c>
      <c r="P76" s="269">
        <v>0</v>
      </c>
      <c r="Q76" s="269">
        <v>0</v>
      </c>
      <c r="R76" s="269">
        <v>0</v>
      </c>
      <c r="S76" s="269">
        <v>0</v>
      </c>
      <c r="T76" s="271">
        <f t="shared" si="6"/>
        <v>230314588</v>
      </c>
      <c r="U76" s="271">
        <f t="shared" si="6"/>
        <v>58292650</v>
      </c>
      <c r="V76" s="271">
        <f t="shared" si="7"/>
        <v>50209484</v>
      </c>
      <c r="W76" s="271">
        <f t="shared" si="4"/>
        <v>338816722</v>
      </c>
      <c r="X76" s="271">
        <f t="shared" si="5"/>
        <v>333763</v>
      </c>
    </row>
    <row r="77" spans="1:24" x14ac:dyDescent="0.2">
      <c r="A77" s="267" t="s">
        <v>101</v>
      </c>
      <c r="B77" s="268">
        <v>33003</v>
      </c>
      <c r="C77" s="269">
        <v>429927224</v>
      </c>
      <c r="D77" s="269">
        <v>170433650</v>
      </c>
      <c r="E77" s="269">
        <v>356306</v>
      </c>
      <c r="F77" s="269">
        <v>984814</v>
      </c>
      <c r="G77" s="269">
        <v>47060243</v>
      </c>
      <c r="H77" s="269">
        <v>4587804</v>
      </c>
      <c r="I77" s="269">
        <v>2</v>
      </c>
      <c r="J77" s="269">
        <v>0</v>
      </c>
      <c r="K77" s="270"/>
      <c r="L77" s="270"/>
      <c r="M77" s="269">
        <v>0</v>
      </c>
      <c r="N77" s="269">
        <v>0</v>
      </c>
      <c r="O77" s="269">
        <v>0</v>
      </c>
      <c r="P77" s="269">
        <v>0</v>
      </c>
      <c r="Q77" s="269">
        <v>0</v>
      </c>
      <c r="R77" s="269">
        <v>0</v>
      </c>
      <c r="S77" s="269">
        <v>0</v>
      </c>
      <c r="T77" s="271">
        <f t="shared" si="6"/>
        <v>429927226</v>
      </c>
      <c r="U77" s="271">
        <f t="shared" si="6"/>
        <v>170433650</v>
      </c>
      <c r="V77" s="271">
        <f t="shared" si="7"/>
        <v>51648047</v>
      </c>
      <c r="W77" s="271">
        <f t="shared" si="4"/>
        <v>652008923</v>
      </c>
      <c r="X77" s="271">
        <f t="shared" si="5"/>
        <v>590979</v>
      </c>
    </row>
    <row r="78" spans="1:24" x14ac:dyDescent="0.2">
      <c r="A78" s="267" t="s">
        <v>376</v>
      </c>
      <c r="B78" s="268">
        <v>33005</v>
      </c>
      <c r="C78" s="269">
        <v>353186007</v>
      </c>
      <c r="D78" s="269">
        <v>47830031</v>
      </c>
      <c r="E78" s="269">
        <v>41973</v>
      </c>
      <c r="F78" s="269">
        <v>613076</v>
      </c>
      <c r="G78" s="269">
        <v>30824342</v>
      </c>
      <c r="H78" s="269">
        <v>4320044</v>
      </c>
      <c r="I78" s="269">
        <v>0</v>
      </c>
      <c r="J78" s="269">
        <v>0</v>
      </c>
      <c r="K78" s="270"/>
      <c r="L78" s="270"/>
      <c r="M78" s="269">
        <v>0</v>
      </c>
      <c r="N78" s="269">
        <v>0</v>
      </c>
      <c r="O78" s="269">
        <v>0</v>
      </c>
      <c r="P78" s="269">
        <v>0</v>
      </c>
      <c r="Q78" s="269">
        <v>0</v>
      </c>
      <c r="R78" s="269">
        <v>0</v>
      </c>
      <c r="S78" s="269">
        <v>0</v>
      </c>
      <c r="T78" s="271">
        <f t="shared" si="6"/>
        <v>353186007</v>
      </c>
      <c r="U78" s="271">
        <f t="shared" si="6"/>
        <v>47830031</v>
      </c>
      <c r="V78" s="271">
        <f t="shared" si="7"/>
        <v>35144386</v>
      </c>
      <c r="W78" s="271">
        <f t="shared" si="4"/>
        <v>436160424</v>
      </c>
      <c r="X78" s="271">
        <f t="shared" si="5"/>
        <v>350454</v>
      </c>
    </row>
    <row r="79" spans="1:24" x14ac:dyDescent="0.2">
      <c r="A79" s="267" t="s">
        <v>432</v>
      </c>
      <c r="B79" s="268">
        <v>34002</v>
      </c>
      <c r="C79" s="269">
        <v>939867128</v>
      </c>
      <c r="D79" s="269">
        <v>47366342</v>
      </c>
      <c r="E79" s="269">
        <v>1089262</v>
      </c>
      <c r="F79" s="269">
        <v>2908754</v>
      </c>
      <c r="G79" s="269">
        <v>45964875</v>
      </c>
      <c r="H79" s="269">
        <v>2731008</v>
      </c>
      <c r="I79" s="269">
        <v>1</v>
      </c>
      <c r="J79" s="269">
        <v>0</v>
      </c>
      <c r="K79" s="270"/>
      <c r="L79" s="270"/>
      <c r="M79" s="269">
        <v>1</v>
      </c>
      <c r="N79" s="269">
        <v>0</v>
      </c>
      <c r="O79" s="269">
        <v>0</v>
      </c>
      <c r="P79" s="269">
        <v>0</v>
      </c>
      <c r="Q79" s="269">
        <v>0</v>
      </c>
      <c r="R79" s="269">
        <v>0</v>
      </c>
      <c r="S79" s="269">
        <v>0</v>
      </c>
      <c r="T79" s="271">
        <f t="shared" si="6"/>
        <v>939867129</v>
      </c>
      <c r="U79" s="271">
        <f t="shared" si="6"/>
        <v>47366342</v>
      </c>
      <c r="V79" s="271">
        <f t="shared" si="7"/>
        <v>48695884</v>
      </c>
      <c r="W79" s="271">
        <f t="shared" si="4"/>
        <v>1035929355</v>
      </c>
      <c r="X79" s="271">
        <f t="shared" si="5"/>
        <v>715187</v>
      </c>
    </row>
    <row r="80" spans="1:24" x14ac:dyDescent="0.2">
      <c r="A80" s="267" t="s">
        <v>77</v>
      </c>
      <c r="B80" s="268">
        <v>35002</v>
      </c>
      <c r="C80" s="269">
        <v>344170740</v>
      </c>
      <c r="D80" s="269">
        <v>34950773</v>
      </c>
      <c r="E80" s="269">
        <v>3612454</v>
      </c>
      <c r="F80" s="269">
        <v>12574942</v>
      </c>
      <c r="G80" s="269">
        <v>38592055</v>
      </c>
      <c r="H80" s="269">
        <v>62547</v>
      </c>
      <c r="I80" s="269">
        <v>0</v>
      </c>
      <c r="J80" s="269">
        <v>0</v>
      </c>
      <c r="K80" s="270"/>
      <c r="L80" s="270"/>
      <c r="M80" s="269">
        <v>32174</v>
      </c>
      <c r="N80" s="269">
        <v>0</v>
      </c>
      <c r="O80" s="269">
        <v>0</v>
      </c>
      <c r="P80" s="269">
        <v>0</v>
      </c>
      <c r="Q80" s="269">
        <v>0</v>
      </c>
      <c r="R80" s="269">
        <v>0</v>
      </c>
      <c r="S80" s="269">
        <v>0</v>
      </c>
      <c r="T80" s="271">
        <f t="shared" si="6"/>
        <v>344170740</v>
      </c>
      <c r="U80" s="271">
        <f t="shared" si="6"/>
        <v>34950773</v>
      </c>
      <c r="V80" s="271">
        <f t="shared" si="7"/>
        <v>38686776</v>
      </c>
      <c r="W80" s="271">
        <f t="shared" si="4"/>
        <v>417808289</v>
      </c>
      <c r="X80" s="271">
        <f t="shared" si="5"/>
        <v>338397</v>
      </c>
    </row>
    <row r="81" spans="1:24" x14ac:dyDescent="0.2">
      <c r="A81" s="267" t="s">
        <v>129</v>
      </c>
      <c r="B81" s="268">
        <v>36002</v>
      </c>
      <c r="C81" s="269">
        <v>772657831</v>
      </c>
      <c r="D81" s="269">
        <v>65671670</v>
      </c>
      <c r="E81" s="269">
        <v>592343</v>
      </c>
      <c r="F81" s="269">
        <v>2461036</v>
      </c>
      <c r="G81" s="269">
        <v>35217048</v>
      </c>
      <c r="H81" s="269">
        <v>535831</v>
      </c>
      <c r="I81" s="269">
        <v>0</v>
      </c>
      <c r="J81" s="269">
        <v>0</v>
      </c>
      <c r="K81" s="270"/>
      <c r="L81" s="270"/>
      <c r="M81" s="269">
        <v>0</v>
      </c>
      <c r="N81" s="269">
        <v>0</v>
      </c>
      <c r="O81" s="269">
        <v>0</v>
      </c>
      <c r="P81" s="269">
        <v>0</v>
      </c>
      <c r="Q81" s="269">
        <v>0</v>
      </c>
      <c r="R81" s="269">
        <v>0</v>
      </c>
      <c r="S81" s="269">
        <v>0</v>
      </c>
      <c r="T81" s="271">
        <f t="shared" si="6"/>
        <v>772657831</v>
      </c>
      <c r="U81" s="271">
        <f t="shared" si="6"/>
        <v>65671670</v>
      </c>
      <c r="V81" s="271">
        <f t="shared" si="7"/>
        <v>35752879</v>
      </c>
      <c r="W81" s="271">
        <f t="shared" si="4"/>
        <v>874082380</v>
      </c>
      <c r="X81" s="271">
        <f t="shared" si="5"/>
        <v>610455</v>
      </c>
    </row>
    <row r="82" spans="1:24" x14ac:dyDescent="0.2">
      <c r="A82" s="267" t="s">
        <v>76</v>
      </c>
      <c r="B82" s="268">
        <v>37003</v>
      </c>
      <c r="C82" s="269">
        <v>327881896</v>
      </c>
      <c r="D82" s="269">
        <v>20600400</v>
      </c>
      <c r="E82" s="269">
        <v>943408</v>
      </c>
      <c r="F82" s="269">
        <v>2343395</v>
      </c>
      <c r="G82" s="269">
        <v>26643299</v>
      </c>
      <c r="H82" s="269">
        <v>20795</v>
      </c>
      <c r="I82" s="269">
        <v>0</v>
      </c>
      <c r="J82" s="269">
        <v>0</v>
      </c>
      <c r="K82" s="270"/>
      <c r="L82" s="270"/>
      <c r="M82" s="269">
        <v>0</v>
      </c>
      <c r="N82" s="269">
        <v>0</v>
      </c>
      <c r="O82" s="269">
        <v>0</v>
      </c>
      <c r="P82" s="269">
        <v>0</v>
      </c>
      <c r="Q82" s="269">
        <v>0</v>
      </c>
      <c r="R82" s="269">
        <v>0</v>
      </c>
      <c r="S82" s="269">
        <v>0</v>
      </c>
      <c r="T82" s="271">
        <f t="shared" si="6"/>
        <v>327881896</v>
      </c>
      <c r="U82" s="271">
        <f t="shared" si="6"/>
        <v>20600400</v>
      </c>
      <c r="V82" s="271">
        <f t="shared" si="7"/>
        <v>26664094</v>
      </c>
      <c r="W82" s="271">
        <f t="shared" si="4"/>
        <v>375146390</v>
      </c>
      <c r="X82" s="271">
        <f t="shared" si="5"/>
        <v>279843</v>
      </c>
    </row>
    <row r="83" spans="1:24" x14ac:dyDescent="0.2">
      <c r="A83" s="267" t="s">
        <v>12</v>
      </c>
      <c r="B83" s="268">
        <v>38001</v>
      </c>
      <c r="C83" s="269">
        <v>300860934</v>
      </c>
      <c r="D83" s="269">
        <v>150506802</v>
      </c>
      <c r="E83" s="269">
        <v>499048</v>
      </c>
      <c r="F83" s="269">
        <v>2481322</v>
      </c>
      <c r="G83" s="269">
        <v>72331211</v>
      </c>
      <c r="H83" s="269">
        <v>8849343</v>
      </c>
      <c r="I83" s="269">
        <v>1</v>
      </c>
      <c r="J83" s="269">
        <v>0</v>
      </c>
      <c r="K83" s="270"/>
      <c r="L83" s="270"/>
      <c r="M83" s="269">
        <v>0</v>
      </c>
      <c r="N83" s="269">
        <v>0</v>
      </c>
      <c r="O83" s="269">
        <v>0</v>
      </c>
      <c r="P83" s="269">
        <v>0</v>
      </c>
      <c r="Q83" s="269">
        <v>0</v>
      </c>
      <c r="R83" s="269">
        <v>0</v>
      </c>
      <c r="S83" s="269">
        <v>0</v>
      </c>
      <c r="T83" s="271">
        <f t="shared" si="6"/>
        <v>300860935</v>
      </c>
      <c r="U83" s="271">
        <f t="shared" si="6"/>
        <v>150506802</v>
      </c>
      <c r="V83" s="271">
        <f t="shared" si="7"/>
        <v>81180554</v>
      </c>
      <c r="W83" s="271">
        <f t="shared" si="4"/>
        <v>532548291</v>
      </c>
      <c r="X83" s="271">
        <f t="shared" si="5"/>
        <v>570238</v>
      </c>
    </row>
    <row r="84" spans="1:24" x14ac:dyDescent="0.2">
      <c r="A84" s="267" t="s">
        <v>36</v>
      </c>
      <c r="B84" s="268">
        <v>38002</v>
      </c>
      <c r="C84" s="269">
        <v>394063921</v>
      </c>
      <c r="D84" s="269">
        <v>136686807</v>
      </c>
      <c r="E84" s="269">
        <v>963271</v>
      </c>
      <c r="F84" s="269">
        <v>1453702</v>
      </c>
      <c r="G84" s="269">
        <v>80154836</v>
      </c>
      <c r="H84" s="269">
        <v>18857175</v>
      </c>
      <c r="I84" s="269">
        <v>1</v>
      </c>
      <c r="J84" s="269">
        <v>0</v>
      </c>
      <c r="K84" s="270"/>
      <c r="L84" s="270"/>
      <c r="M84" s="269">
        <v>1</v>
      </c>
      <c r="N84" s="269">
        <v>0</v>
      </c>
      <c r="O84" s="269">
        <v>0</v>
      </c>
      <c r="P84" s="269">
        <v>0</v>
      </c>
      <c r="Q84" s="269">
        <v>0</v>
      </c>
      <c r="R84" s="269">
        <v>0</v>
      </c>
      <c r="S84" s="269">
        <v>0</v>
      </c>
      <c r="T84" s="271">
        <f t="shared" si="6"/>
        <v>394063922</v>
      </c>
      <c r="U84" s="271">
        <f t="shared" si="6"/>
        <v>136686807</v>
      </c>
      <c r="V84" s="271">
        <f t="shared" si="7"/>
        <v>99012012</v>
      </c>
      <c r="W84" s="271">
        <f t="shared" si="4"/>
        <v>629762741</v>
      </c>
      <c r="X84" s="271">
        <f t="shared" si="5"/>
        <v>651725</v>
      </c>
    </row>
    <row r="85" spans="1:24" x14ac:dyDescent="0.2">
      <c r="A85" s="267" t="s">
        <v>79</v>
      </c>
      <c r="B85" s="268">
        <v>38003</v>
      </c>
      <c r="C85" s="269">
        <v>276149353</v>
      </c>
      <c r="D85" s="269">
        <v>89931689</v>
      </c>
      <c r="E85" s="269">
        <v>1153226</v>
      </c>
      <c r="F85" s="269">
        <v>1227687</v>
      </c>
      <c r="G85" s="269">
        <v>53532485</v>
      </c>
      <c r="H85" s="269">
        <v>6572805</v>
      </c>
      <c r="I85" s="269">
        <v>3</v>
      </c>
      <c r="J85" s="269">
        <v>0</v>
      </c>
      <c r="K85" s="270"/>
      <c r="L85" s="270"/>
      <c r="M85" s="269">
        <v>1</v>
      </c>
      <c r="N85" s="269">
        <v>0</v>
      </c>
      <c r="O85" s="269">
        <v>0</v>
      </c>
      <c r="P85" s="269">
        <v>0</v>
      </c>
      <c r="Q85" s="269">
        <v>0</v>
      </c>
      <c r="R85" s="269">
        <v>0</v>
      </c>
      <c r="S85" s="269">
        <v>0</v>
      </c>
      <c r="T85" s="271">
        <f t="shared" si="6"/>
        <v>276149356</v>
      </c>
      <c r="U85" s="271">
        <f t="shared" si="6"/>
        <v>89931689</v>
      </c>
      <c r="V85" s="271">
        <f t="shared" si="7"/>
        <v>60105291</v>
      </c>
      <c r="W85" s="271">
        <f t="shared" si="4"/>
        <v>426186336</v>
      </c>
      <c r="X85" s="271">
        <f t="shared" si="5"/>
        <v>425162</v>
      </c>
    </row>
    <row r="86" spans="1:24" x14ac:dyDescent="0.2">
      <c r="A86" s="267" t="s">
        <v>32</v>
      </c>
      <c r="B86" s="268">
        <v>39001</v>
      </c>
      <c r="C86" s="269">
        <v>176201182</v>
      </c>
      <c r="D86" s="269">
        <v>230704992</v>
      </c>
      <c r="E86" s="269">
        <v>1133299</v>
      </c>
      <c r="F86" s="269">
        <v>1293876</v>
      </c>
      <c r="G86" s="269">
        <v>137847546</v>
      </c>
      <c r="H86" s="269">
        <v>5643111</v>
      </c>
      <c r="I86" s="269">
        <v>1</v>
      </c>
      <c r="J86" s="269">
        <v>0</v>
      </c>
      <c r="K86" s="270"/>
      <c r="L86" s="270"/>
      <c r="M86" s="269">
        <v>1</v>
      </c>
      <c r="N86" s="269">
        <v>0</v>
      </c>
      <c r="O86" s="269">
        <v>0</v>
      </c>
      <c r="P86" s="269">
        <v>0</v>
      </c>
      <c r="Q86" s="269">
        <v>0</v>
      </c>
      <c r="R86" s="269">
        <v>0</v>
      </c>
      <c r="S86" s="269">
        <v>0</v>
      </c>
      <c r="T86" s="271">
        <f t="shared" si="6"/>
        <v>176201183</v>
      </c>
      <c r="U86" s="271">
        <f t="shared" si="6"/>
        <v>230704992</v>
      </c>
      <c r="V86" s="271">
        <f t="shared" si="7"/>
        <v>143490658</v>
      </c>
      <c r="W86" s="271">
        <f t="shared" si="4"/>
        <v>550396833</v>
      </c>
      <c r="X86" s="271">
        <f t="shared" si="5"/>
        <v>763436</v>
      </c>
    </row>
    <row r="87" spans="1:24" x14ac:dyDescent="0.2">
      <c r="A87" s="267" t="s">
        <v>86</v>
      </c>
      <c r="B87" s="268">
        <v>39002</v>
      </c>
      <c r="C87" s="269">
        <v>322692018</v>
      </c>
      <c r="D87" s="269">
        <v>743088966</v>
      </c>
      <c r="E87" s="269">
        <v>3513198</v>
      </c>
      <c r="F87" s="269">
        <v>3207373</v>
      </c>
      <c r="G87" s="269">
        <v>373902243</v>
      </c>
      <c r="H87" s="269">
        <v>29599271</v>
      </c>
      <c r="I87" s="269">
        <v>0</v>
      </c>
      <c r="J87" s="269">
        <v>0</v>
      </c>
      <c r="K87" s="270"/>
      <c r="L87" s="270"/>
      <c r="M87" s="269">
        <v>0</v>
      </c>
      <c r="N87" s="269">
        <v>0</v>
      </c>
      <c r="O87" s="269">
        <v>0</v>
      </c>
      <c r="P87" s="269">
        <v>0</v>
      </c>
      <c r="Q87" s="269">
        <v>0</v>
      </c>
      <c r="R87" s="269">
        <v>0</v>
      </c>
      <c r="S87" s="269">
        <v>0</v>
      </c>
      <c r="T87" s="271">
        <f t="shared" si="6"/>
        <v>322692018</v>
      </c>
      <c r="U87" s="271">
        <f t="shared" si="6"/>
        <v>743088966</v>
      </c>
      <c r="V87" s="271">
        <f t="shared" si="7"/>
        <v>403501514</v>
      </c>
      <c r="W87" s="271">
        <f t="shared" si="4"/>
        <v>1469282498</v>
      </c>
      <c r="X87" s="271">
        <f t="shared" si="5"/>
        <v>2168386</v>
      </c>
    </row>
    <row r="88" spans="1:24" x14ac:dyDescent="0.2">
      <c r="A88" s="267" t="s">
        <v>411</v>
      </c>
      <c r="B88" s="268">
        <v>39006</v>
      </c>
      <c r="C88" s="269">
        <v>457888085</v>
      </c>
      <c r="D88" s="269">
        <v>95300160</v>
      </c>
      <c r="E88" s="269">
        <v>241076</v>
      </c>
      <c r="F88" s="269">
        <v>889608</v>
      </c>
      <c r="G88" s="269">
        <v>20354343</v>
      </c>
      <c r="H88" s="269">
        <v>5191935</v>
      </c>
      <c r="I88" s="269">
        <v>0</v>
      </c>
      <c r="J88" s="269">
        <v>0</v>
      </c>
      <c r="K88" s="270"/>
      <c r="L88" s="270"/>
      <c r="M88" s="269">
        <v>0</v>
      </c>
      <c r="N88" s="269">
        <v>0</v>
      </c>
      <c r="O88" s="269">
        <v>0</v>
      </c>
      <c r="P88" s="269">
        <v>0</v>
      </c>
      <c r="Q88" s="269">
        <v>0</v>
      </c>
      <c r="R88" s="269">
        <v>0</v>
      </c>
      <c r="S88" s="269">
        <v>0</v>
      </c>
      <c r="T88" s="271">
        <f t="shared" si="6"/>
        <v>457888085</v>
      </c>
      <c r="U88" s="271">
        <f t="shared" si="6"/>
        <v>95300160</v>
      </c>
      <c r="V88" s="271">
        <f t="shared" si="7"/>
        <v>25546278</v>
      </c>
      <c r="W88" s="271">
        <f t="shared" si="4"/>
        <v>578734523</v>
      </c>
      <c r="X88" s="271">
        <f t="shared" si="5"/>
        <v>444106</v>
      </c>
    </row>
    <row r="89" spans="1:24" x14ac:dyDescent="0.2">
      <c r="A89" s="267" t="s">
        <v>81</v>
      </c>
      <c r="B89" s="268">
        <v>40001</v>
      </c>
      <c r="C89" s="269">
        <v>7012950</v>
      </c>
      <c r="D89" s="269">
        <v>683181542</v>
      </c>
      <c r="E89" s="269">
        <v>5152769</v>
      </c>
      <c r="F89" s="269">
        <v>11329063</v>
      </c>
      <c r="G89" s="269">
        <v>1438922504</v>
      </c>
      <c r="H89" s="269">
        <v>28995702</v>
      </c>
      <c r="I89" s="269">
        <v>0</v>
      </c>
      <c r="J89" s="269">
        <v>44</v>
      </c>
      <c r="K89" s="270"/>
      <c r="L89" s="270"/>
      <c r="M89" s="269">
        <v>27</v>
      </c>
      <c r="N89" s="269">
        <v>0</v>
      </c>
      <c r="O89" s="269">
        <v>0</v>
      </c>
      <c r="P89" s="269">
        <v>0</v>
      </c>
      <c r="Q89" s="269">
        <v>0</v>
      </c>
      <c r="R89" s="269">
        <v>0</v>
      </c>
      <c r="S89" s="269">
        <v>0</v>
      </c>
      <c r="T89" s="271">
        <f t="shared" si="6"/>
        <v>7012950</v>
      </c>
      <c r="U89" s="271">
        <f t="shared" si="6"/>
        <v>683181586</v>
      </c>
      <c r="V89" s="271">
        <f t="shared" si="7"/>
        <v>1467918233</v>
      </c>
      <c r="W89" s="271">
        <f t="shared" si="4"/>
        <v>2158112769</v>
      </c>
      <c r="X89" s="271">
        <f t="shared" si="5"/>
        <v>4688731</v>
      </c>
    </row>
    <row r="90" spans="1:24" x14ac:dyDescent="0.2">
      <c r="A90" s="267" t="s">
        <v>114</v>
      </c>
      <c r="B90" s="268">
        <v>40002</v>
      </c>
      <c r="C90" s="269">
        <v>54117866</v>
      </c>
      <c r="D90" s="269">
        <v>1904452839</v>
      </c>
      <c r="E90" s="269">
        <v>19252176</v>
      </c>
      <c r="F90" s="269">
        <v>51899423</v>
      </c>
      <c r="G90" s="269">
        <v>943659927</v>
      </c>
      <c r="H90" s="269">
        <v>34700985</v>
      </c>
      <c r="I90" s="269">
        <v>0</v>
      </c>
      <c r="J90" s="269">
        <v>0</v>
      </c>
      <c r="K90" s="270"/>
      <c r="L90" s="270"/>
      <c r="M90" s="269">
        <v>10</v>
      </c>
      <c r="N90" s="269">
        <v>0</v>
      </c>
      <c r="O90" s="269">
        <v>0</v>
      </c>
      <c r="P90" s="269">
        <v>0</v>
      </c>
      <c r="Q90" s="269">
        <v>0</v>
      </c>
      <c r="R90" s="269">
        <v>0</v>
      </c>
      <c r="S90" s="269">
        <v>0</v>
      </c>
      <c r="T90" s="271">
        <f t="shared" si="6"/>
        <v>54117866</v>
      </c>
      <c r="U90" s="271">
        <f t="shared" si="6"/>
        <v>1904452839</v>
      </c>
      <c r="V90" s="271">
        <f t="shared" si="7"/>
        <v>978360922</v>
      </c>
      <c r="W90" s="271">
        <f t="shared" si="4"/>
        <v>2936931627</v>
      </c>
      <c r="X90" s="271">
        <f t="shared" si="5"/>
        <v>4977267</v>
      </c>
    </row>
    <row r="91" spans="1:24" x14ac:dyDescent="0.2">
      <c r="A91" s="267" t="s">
        <v>28</v>
      </c>
      <c r="B91" s="268">
        <v>41001</v>
      </c>
      <c r="C91" s="269">
        <v>310796437</v>
      </c>
      <c r="D91" s="269">
        <v>611240264</v>
      </c>
      <c r="E91" s="269">
        <v>517206</v>
      </c>
      <c r="F91" s="269">
        <v>1876320</v>
      </c>
      <c r="G91" s="269">
        <v>186002362</v>
      </c>
      <c r="H91" s="269">
        <v>17162955</v>
      </c>
      <c r="I91" s="269">
        <v>0</v>
      </c>
      <c r="J91" s="269">
        <v>0</v>
      </c>
      <c r="K91" s="270"/>
      <c r="L91" s="270"/>
      <c r="M91" s="269">
        <v>1257367</v>
      </c>
      <c r="N91" s="269">
        <v>0</v>
      </c>
      <c r="O91" s="269">
        <v>0</v>
      </c>
      <c r="P91" s="269">
        <v>0</v>
      </c>
      <c r="Q91" s="269">
        <v>0</v>
      </c>
      <c r="R91" s="269">
        <v>0</v>
      </c>
      <c r="S91" s="269">
        <v>0</v>
      </c>
      <c r="T91" s="271">
        <f t="shared" si="6"/>
        <v>310796437</v>
      </c>
      <c r="U91" s="271">
        <f t="shared" si="6"/>
        <v>611240264</v>
      </c>
      <c r="V91" s="271">
        <f t="shared" si="7"/>
        <v>204422684</v>
      </c>
      <c r="W91" s="271">
        <f t="shared" si="4"/>
        <v>1126459385</v>
      </c>
      <c r="X91" s="271">
        <f t="shared" si="5"/>
        <v>1476998</v>
      </c>
    </row>
    <row r="92" spans="1:24" x14ac:dyDescent="0.2">
      <c r="A92" s="267" t="s">
        <v>66</v>
      </c>
      <c r="B92" s="268">
        <v>41002</v>
      </c>
      <c r="C92" s="269">
        <v>81492216</v>
      </c>
      <c r="D92" s="269">
        <v>4025226173</v>
      </c>
      <c r="E92" s="269">
        <v>1969305</v>
      </c>
      <c r="F92" s="269">
        <v>13243185</v>
      </c>
      <c r="G92" s="269">
        <v>1861459768</v>
      </c>
      <c r="H92" s="269">
        <v>46779200</v>
      </c>
      <c r="I92" s="269">
        <v>0</v>
      </c>
      <c r="J92" s="269">
        <v>0</v>
      </c>
      <c r="K92" s="270"/>
      <c r="L92" s="270"/>
      <c r="M92" s="269">
        <v>363907</v>
      </c>
      <c r="N92" s="269">
        <v>0</v>
      </c>
      <c r="O92" s="269">
        <v>0</v>
      </c>
      <c r="P92" s="269">
        <v>0</v>
      </c>
      <c r="Q92" s="269">
        <v>0</v>
      </c>
      <c r="R92" s="269">
        <v>0</v>
      </c>
      <c r="S92" s="269">
        <v>0</v>
      </c>
      <c r="T92" s="271">
        <f t="shared" si="6"/>
        <v>81492216</v>
      </c>
      <c r="U92" s="271">
        <f t="shared" si="6"/>
        <v>4025226173</v>
      </c>
      <c r="V92" s="271">
        <f t="shared" si="7"/>
        <v>1908602875</v>
      </c>
      <c r="W92" s="271">
        <f t="shared" si="4"/>
        <v>6015321264</v>
      </c>
      <c r="X92" s="271">
        <f t="shared" si="5"/>
        <v>10086464</v>
      </c>
    </row>
    <row r="93" spans="1:24" x14ac:dyDescent="0.2">
      <c r="A93" s="267" t="s">
        <v>83</v>
      </c>
      <c r="B93" s="268">
        <v>41004</v>
      </c>
      <c r="C93" s="269">
        <v>277944868</v>
      </c>
      <c r="D93" s="269">
        <v>617093519</v>
      </c>
      <c r="E93" s="269">
        <v>1432597</v>
      </c>
      <c r="F93" s="269">
        <v>7623015</v>
      </c>
      <c r="G93" s="269">
        <v>233087236</v>
      </c>
      <c r="H93" s="269">
        <v>21349555</v>
      </c>
      <c r="I93" s="269">
        <v>3</v>
      </c>
      <c r="J93" s="269">
        <v>0</v>
      </c>
      <c r="K93" s="270"/>
      <c r="L93" s="270"/>
      <c r="M93" s="269">
        <v>6</v>
      </c>
      <c r="N93" s="269">
        <v>0</v>
      </c>
      <c r="O93" s="269">
        <v>0</v>
      </c>
      <c r="P93" s="269">
        <v>0</v>
      </c>
      <c r="Q93" s="269">
        <v>0</v>
      </c>
      <c r="R93" s="269">
        <v>0</v>
      </c>
      <c r="S93" s="269">
        <v>0</v>
      </c>
      <c r="T93" s="271">
        <f t="shared" si="6"/>
        <v>277944871</v>
      </c>
      <c r="U93" s="271">
        <f t="shared" si="6"/>
        <v>617093519</v>
      </c>
      <c r="V93" s="271">
        <f t="shared" si="7"/>
        <v>254436797</v>
      </c>
      <c r="W93" s="271">
        <f t="shared" si="4"/>
        <v>1149475187</v>
      </c>
      <c r="X93" s="271">
        <f t="shared" si="5"/>
        <v>1596200</v>
      </c>
    </row>
    <row r="94" spans="1:24" x14ac:dyDescent="0.2">
      <c r="A94" s="267" t="s">
        <v>117</v>
      </c>
      <c r="B94" s="268">
        <v>41005</v>
      </c>
      <c r="C94" s="269">
        <v>24150920</v>
      </c>
      <c r="D94" s="269">
        <v>1060585445</v>
      </c>
      <c r="E94" s="269">
        <v>0</v>
      </c>
      <c r="F94" s="269">
        <v>497687</v>
      </c>
      <c r="G94" s="269">
        <v>534755351</v>
      </c>
      <c r="H94" s="269">
        <v>6342549</v>
      </c>
      <c r="I94" s="269">
        <v>0</v>
      </c>
      <c r="J94" s="269">
        <v>0</v>
      </c>
      <c r="K94" s="270"/>
      <c r="L94" s="270"/>
      <c r="M94" s="269">
        <v>1</v>
      </c>
      <c r="N94" s="269">
        <v>0</v>
      </c>
      <c r="O94" s="269">
        <v>0</v>
      </c>
      <c r="P94" s="269">
        <v>0</v>
      </c>
      <c r="Q94" s="269">
        <v>0</v>
      </c>
      <c r="R94" s="269">
        <v>0</v>
      </c>
      <c r="S94" s="269">
        <v>0</v>
      </c>
      <c r="T94" s="271">
        <f t="shared" si="6"/>
        <v>24150920</v>
      </c>
      <c r="U94" s="271">
        <f t="shared" si="6"/>
        <v>1060585445</v>
      </c>
      <c r="V94" s="271">
        <f t="shared" si="7"/>
        <v>541097901</v>
      </c>
      <c r="W94" s="271">
        <f t="shared" si="4"/>
        <v>1625834266</v>
      </c>
      <c r="X94" s="271">
        <f t="shared" si="5"/>
        <v>2758693</v>
      </c>
    </row>
    <row r="95" spans="1:24" x14ac:dyDescent="0.2">
      <c r="A95" s="267" t="s">
        <v>85</v>
      </c>
      <c r="B95" s="268">
        <v>42001</v>
      </c>
      <c r="C95" s="269">
        <v>655549535</v>
      </c>
      <c r="D95" s="269">
        <v>57405125</v>
      </c>
      <c r="E95" s="269">
        <v>2563080</v>
      </c>
      <c r="F95" s="269">
        <v>5129181</v>
      </c>
      <c r="G95" s="269">
        <v>60575097</v>
      </c>
      <c r="H95" s="269">
        <v>2017</v>
      </c>
      <c r="I95" s="269">
        <v>0</v>
      </c>
      <c r="J95" s="269">
        <v>0</v>
      </c>
      <c r="K95" s="270"/>
      <c r="L95" s="270"/>
      <c r="M95" s="269">
        <v>0</v>
      </c>
      <c r="N95" s="269">
        <v>0</v>
      </c>
      <c r="O95" s="269">
        <v>0</v>
      </c>
      <c r="P95" s="269">
        <v>0</v>
      </c>
      <c r="Q95" s="269">
        <v>0</v>
      </c>
      <c r="R95" s="269">
        <v>0</v>
      </c>
      <c r="S95" s="269">
        <v>0</v>
      </c>
      <c r="T95" s="271">
        <f t="shared" si="6"/>
        <v>655549535</v>
      </c>
      <c r="U95" s="271">
        <f t="shared" si="6"/>
        <v>57405125</v>
      </c>
      <c r="V95" s="271">
        <f t="shared" si="7"/>
        <v>60577114</v>
      </c>
      <c r="W95" s="271">
        <f t="shared" si="4"/>
        <v>773531774</v>
      </c>
      <c r="X95" s="271">
        <f t="shared" si="5"/>
        <v>598853</v>
      </c>
    </row>
    <row r="96" spans="1:24" x14ac:dyDescent="0.2">
      <c r="A96" s="267" t="s">
        <v>27</v>
      </c>
      <c r="B96" s="268">
        <v>43001</v>
      </c>
      <c r="C96" s="269">
        <v>159280139</v>
      </c>
      <c r="D96" s="269">
        <v>115127549</v>
      </c>
      <c r="E96" s="269">
        <v>609957</v>
      </c>
      <c r="F96" s="269">
        <v>1765363</v>
      </c>
      <c r="G96" s="269">
        <v>34063588</v>
      </c>
      <c r="H96" s="269">
        <v>5697775</v>
      </c>
      <c r="I96" s="269">
        <v>0</v>
      </c>
      <c r="J96" s="269">
        <v>0</v>
      </c>
      <c r="K96" s="270"/>
      <c r="L96" s="270"/>
      <c r="M96" s="269">
        <v>0</v>
      </c>
      <c r="N96" s="269">
        <v>0</v>
      </c>
      <c r="O96" s="269">
        <v>0</v>
      </c>
      <c r="P96" s="269">
        <v>0</v>
      </c>
      <c r="Q96" s="269">
        <v>0</v>
      </c>
      <c r="R96" s="269">
        <v>0</v>
      </c>
      <c r="S96" s="269">
        <v>0</v>
      </c>
      <c r="T96" s="271">
        <f t="shared" si="6"/>
        <v>159280139</v>
      </c>
      <c r="U96" s="271">
        <f t="shared" si="6"/>
        <v>115127549</v>
      </c>
      <c r="V96" s="271">
        <f t="shared" si="7"/>
        <v>39761363</v>
      </c>
      <c r="W96" s="271">
        <f t="shared" si="4"/>
        <v>314169051</v>
      </c>
      <c r="X96" s="271">
        <f t="shared" si="5"/>
        <v>338139</v>
      </c>
    </row>
    <row r="97" spans="1:24" x14ac:dyDescent="0.2">
      <c r="A97" s="267" t="s">
        <v>94</v>
      </c>
      <c r="B97" s="268">
        <v>43002</v>
      </c>
      <c r="C97" s="269">
        <v>166777225</v>
      </c>
      <c r="D97" s="269">
        <v>84713378</v>
      </c>
      <c r="E97" s="269">
        <v>140712</v>
      </c>
      <c r="F97" s="269">
        <v>1312806</v>
      </c>
      <c r="G97" s="269">
        <v>15985379</v>
      </c>
      <c r="H97" s="269">
        <v>9828650</v>
      </c>
      <c r="I97" s="269">
        <v>0</v>
      </c>
      <c r="J97" s="269">
        <v>0</v>
      </c>
      <c r="K97" s="270"/>
      <c r="L97" s="270"/>
      <c r="M97" s="269">
        <v>0</v>
      </c>
      <c r="N97" s="269">
        <v>0</v>
      </c>
      <c r="O97" s="269">
        <v>0</v>
      </c>
      <c r="P97" s="269">
        <v>0</v>
      </c>
      <c r="Q97" s="269">
        <v>0</v>
      </c>
      <c r="R97" s="269">
        <v>0</v>
      </c>
      <c r="S97" s="269">
        <v>0</v>
      </c>
      <c r="T97" s="271">
        <f t="shared" si="6"/>
        <v>166777225</v>
      </c>
      <c r="U97" s="271">
        <f t="shared" si="6"/>
        <v>84713378</v>
      </c>
      <c r="V97" s="271">
        <f t="shared" si="7"/>
        <v>25814029</v>
      </c>
      <c r="W97" s="271">
        <f t="shared" si="4"/>
        <v>277304632</v>
      </c>
      <c r="X97" s="271">
        <f t="shared" si="5"/>
        <v>267725</v>
      </c>
    </row>
    <row r="98" spans="1:24" x14ac:dyDescent="0.2">
      <c r="A98" s="267" t="s">
        <v>433</v>
      </c>
      <c r="B98" s="268">
        <v>43007</v>
      </c>
      <c r="C98" s="269">
        <v>338460134</v>
      </c>
      <c r="D98" s="269">
        <v>148597007</v>
      </c>
      <c r="E98" s="269">
        <v>538248</v>
      </c>
      <c r="F98" s="269">
        <v>1512039</v>
      </c>
      <c r="G98" s="269">
        <v>61212564</v>
      </c>
      <c r="H98" s="269">
        <v>6782619</v>
      </c>
      <c r="I98" s="269">
        <v>0</v>
      </c>
      <c r="J98" s="269">
        <v>0</v>
      </c>
      <c r="K98" s="270"/>
      <c r="L98" s="270"/>
      <c r="M98" s="269">
        <v>1</v>
      </c>
      <c r="N98" s="269">
        <v>0</v>
      </c>
      <c r="O98" s="269">
        <v>0</v>
      </c>
      <c r="P98" s="269">
        <v>0</v>
      </c>
      <c r="Q98" s="269">
        <v>0</v>
      </c>
      <c r="R98" s="269">
        <v>0</v>
      </c>
      <c r="S98" s="269">
        <v>0</v>
      </c>
      <c r="T98" s="271">
        <f t="shared" si="6"/>
        <v>338460134</v>
      </c>
      <c r="U98" s="271">
        <f t="shared" si="6"/>
        <v>148597007</v>
      </c>
      <c r="V98" s="271">
        <f t="shared" si="7"/>
        <v>67995184</v>
      </c>
      <c r="W98" s="271">
        <f t="shared" si="4"/>
        <v>555052325</v>
      </c>
      <c r="X98" s="271">
        <f t="shared" si="5"/>
        <v>554629</v>
      </c>
    </row>
    <row r="99" spans="1:24" x14ac:dyDescent="0.2">
      <c r="A99" s="267" t="s">
        <v>51</v>
      </c>
      <c r="B99" s="268">
        <v>44001</v>
      </c>
      <c r="C99" s="269">
        <v>504931014</v>
      </c>
      <c r="D99" s="269">
        <v>40431079</v>
      </c>
      <c r="E99" s="269">
        <v>476639</v>
      </c>
      <c r="F99" s="269">
        <v>2057639</v>
      </c>
      <c r="G99" s="269">
        <v>19773330</v>
      </c>
      <c r="H99" s="269">
        <v>35860488</v>
      </c>
      <c r="I99" s="269">
        <v>2</v>
      </c>
      <c r="J99" s="269">
        <v>4</v>
      </c>
      <c r="K99" s="270"/>
      <c r="L99" s="270"/>
      <c r="M99" s="269">
        <v>1</v>
      </c>
      <c r="N99" s="269">
        <v>0</v>
      </c>
      <c r="O99" s="269">
        <v>0</v>
      </c>
      <c r="P99" s="269">
        <v>0</v>
      </c>
      <c r="Q99" s="269">
        <v>0</v>
      </c>
      <c r="R99" s="269">
        <v>0</v>
      </c>
      <c r="S99" s="269">
        <v>0</v>
      </c>
      <c r="T99" s="271">
        <f t="shared" si="6"/>
        <v>504931016</v>
      </c>
      <c r="U99" s="271">
        <f t="shared" si="6"/>
        <v>40431083</v>
      </c>
      <c r="V99" s="271">
        <f t="shared" si="7"/>
        <v>55633819</v>
      </c>
      <c r="W99" s="271">
        <f t="shared" si="4"/>
        <v>600995918</v>
      </c>
      <c r="X99" s="271">
        <f t="shared" si="5"/>
        <v>479880</v>
      </c>
    </row>
    <row r="100" spans="1:24" x14ac:dyDescent="0.2">
      <c r="A100" s="267" t="s">
        <v>84</v>
      </c>
      <c r="B100" s="268">
        <v>44002</v>
      </c>
      <c r="C100" s="269">
        <v>416596124</v>
      </c>
      <c r="D100" s="269">
        <v>34834357</v>
      </c>
      <c r="E100" s="269">
        <v>363154</v>
      </c>
      <c r="F100" s="269">
        <v>2590591</v>
      </c>
      <c r="G100" s="269">
        <v>11722113</v>
      </c>
      <c r="H100" s="269">
        <v>15859076</v>
      </c>
      <c r="I100" s="269">
        <v>2</v>
      </c>
      <c r="J100" s="269">
        <v>0</v>
      </c>
      <c r="K100" s="270"/>
      <c r="L100" s="270"/>
      <c r="M100" s="269">
        <v>0</v>
      </c>
      <c r="N100" s="269">
        <v>0</v>
      </c>
      <c r="O100" s="269">
        <v>0</v>
      </c>
      <c r="P100" s="269">
        <v>0</v>
      </c>
      <c r="Q100" s="269">
        <v>0</v>
      </c>
      <c r="R100" s="269">
        <v>0</v>
      </c>
      <c r="S100" s="269">
        <v>0</v>
      </c>
      <c r="T100" s="271">
        <f t="shared" si="6"/>
        <v>416596126</v>
      </c>
      <c r="U100" s="271">
        <f t="shared" si="6"/>
        <v>34834357</v>
      </c>
      <c r="V100" s="271">
        <f t="shared" si="7"/>
        <v>27581189</v>
      </c>
      <c r="W100" s="271">
        <f t="shared" si="4"/>
        <v>479011672</v>
      </c>
      <c r="X100" s="271">
        <f t="shared" si="5"/>
        <v>350055</v>
      </c>
    </row>
    <row r="101" spans="1:24" x14ac:dyDescent="0.2">
      <c r="A101" s="267" t="s">
        <v>24</v>
      </c>
      <c r="B101" s="268">
        <v>45004</v>
      </c>
      <c r="C101" s="269">
        <v>739553708</v>
      </c>
      <c r="D101" s="269">
        <v>192226714</v>
      </c>
      <c r="E101" s="269">
        <v>1347839</v>
      </c>
      <c r="F101" s="269">
        <v>3662060</v>
      </c>
      <c r="G101" s="269">
        <v>116133388</v>
      </c>
      <c r="H101" s="269">
        <v>18552011</v>
      </c>
      <c r="I101" s="269">
        <v>0</v>
      </c>
      <c r="J101" s="269">
        <v>0</v>
      </c>
      <c r="K101" s="270"/>
      <c r="L101" s="270"/>
      <c r="M101" s="269">
        <v>1</v>
      </c>
      <c r="N101" s="269">
        <v>0</v>
      </c>
      <c r="O101" s="269">
        <v>0</v>
      </c>
      <c r="P101" s="269">
        <v>0</v>
      </c>
      <c r="Q101" s="269">
        <v>0</v>
      </c>
      <c r="R101" s="269">
        <v>0</v>
      </c>
      <c r="S101" s="269">
        <v>0</v>
      </c>
      <c r="T101" s="271">
        <f t="shared" si="6"/>
        <v>739553708</v>
      </c>
      <c r="U101" s="271">
        <f t="shared" si="6"/>
        <v>192226714</v>
      </c>
      <c r="V101" s="271">
        <f t="shared" si="7"/>
        <v>134685400</v>
      </c>
      <c r="W101" s="271">
        <f t="shared" si="4"/>
        <v>1066465822</v>
      </c>
      <c r="X101" s="271">
        <f t="shared" si="5"/>
        <v>1008935</v>
      </c>
    </row>
    <row r="102" spans="1:24" x14ac:dyDescent="0.2">
      <c r="A102" s="267" t="s">
        <v>80</v>
      </c>
      <c r="B102" s="268">
        <v>45005</v>
      </c>
      <c r="C102" s="269">
        <v>487176588</v>
      </c>
      <c r="D102" s="269">
        <v>71926757</v>
      </c>
      <c r="E102" s="269">
        <v>790402</v>
      </c>
      <c r="F102" s="269">
        <v>1706284</v>
      </c>
      <c r="G102" s="269">
        <v>26642669</v>
      </c>
      <c r="H102" s="269">
        <v>13052524</v>
      </c>
      <c r="I102" s="269">
        <v>0</v>
      </c>
      <c r="J102" s="269">
        <v>0</v>
      </c>
      <c r="K102" s="270"/>
      <c r="L102" s="270"/>
      <c r="M102" s="269">
        <v>1</v>
      </c>
      <c r="N102" s="269">
        <v>0</v>
      </c>
      <c r="O102" s="269">
        <v>0</v>
      </c>
      <c r="P102" s="269">
        <v>0</v>
      </c>
      <c r="Q102" s="269">
        <v>0</v>
      </c>
      <c r="R102" s="269">
        <v>0</v>
      </c>
      <c r="S102" s="269">
        <v>0</v>
      </c>
      <c r="T102" s="271">
        <f t="shared" si="6"/>
        <v>487176588</v>
      </c>
      <c r="U102" s="271">
        <f t="shared" si="6"/>
        <v>71926757</v>
      </c>
      <c r="V102" s="271">
        <f t="shared" si="7"/>
        <v>39695194</v>
      </c>
      <c r="W102" s="271">
        <f t="shared" si="4"/>
        <v>598798539</v>
      </c>
      <c r="X102" s="271">
        <f t="shared" si="5"/>
        <v>468018</v>
      </c>
    </row>
    <row r="103" spans="1:24" x14ac:dyDescent="0.2">
      <c r="A103" s="267" t="s">
        <v>90</v>
      </c>
      <c r="B103" s="268">
        <v>46001</v>
      </c>
      <c r="C103" s="269">
        <v>496314779</v>
      </c>
      <c r="D103" s="269">
        <v>1796398632</v>
      </c>
      <c r="E103" s="269">
        <v>22776606</v>
      </c>
      <c r="F103" s="269">
        <v>76826213</v>
      </c>
      <c r="G103" s="269">
        <v>811128649</v>
      </c>
      <c r="H103" s="269">
        <v>30392340</v>
      </c>
      <c r="I103" s="269">
        <v>1731655</v>
      </c>
      <c r="J103" s="269">
        <v>0</v>
      </c>
      <c r="K103" s="270"/>
      <c r="L103" s="270"/>
      <c r="M103" s="269">
        <v>18989104</v>
      </c>
      <c r="N103" s="269">
        <v>213</v>
      </c>
      <c r="O103" s="269">
        <v>52981685</v>
      </c>
      <c r="P103" s="269">
        <v>47741</v>
      </c>
      <c r="Q103" s="269">
        <v>0</v>
      </c>
      <c r="R103" s="269">
        <v>8336029</v>
      </c>
      <c r="S103" s="269">
        <v>0</v>
      </c>
      <c r="T103" s="271">
        <f t="shared" si="6"/>
        <v>498046647</v>
      </c>
      <c r="U103" s="271">
        <f t="shared" si="6"/>
        <v>1849380317</v>
      </c>
      <c r="V103" s="271">
        <f t="shared" si="7"/>
        <v>868846122</v>
      </c>
      <c r="W103" s="271">
        <f t="shared" si="4"/>
        <v>3216273086</v>
      </c>
      <c r="X103" s="271">
        <f t="shared" si="5"/>
        <v>4872300</v>
      </c>
    </row>
    <row r="104" spans="1:24" x14ac:dyDescent="0.2">
      <c r="A104" s="267" t="s">
        <v>52</v>
      </c>
      <c r="B104" s="268">
        <v>46002</v>
      </c>
      <c r="C104" s="269">
        <v>114694174</v>
      </c>
      <c r="D104" s="269">
        <v>20627591</v>
      </c>
      <c r="E104" s="269">
        <v>1658815</v>
      </c>
      <c r="F104" s="269">
        <v>3999448</v>
      </c>
      <c r="G104" s="269">
        <v>14077189</v>
      </c>
      <c r="H104" s="269">
        <v>545</v>
      </c>
      <c r="I104" s="269">
        <v>22394</v>
      </c>
      <c r="J104" s="269">
        <v>10093</v>
      </c>
      <c r="K104" s="270"/>
      <c r="L104" s="270"/>
      <c r="M104" s="269">
        <v>433347</v>
      </c>
      <c r="N104" s="269">
        <v>0</v>
      </c>
      <c r="O104" s="269">
        <v>0</v>
      </c>
      <c r="P104" s="269">
        <v>0</v>
      </c>
      <c r="Q104" s="269">
        <v>0</v>
      </c>
      <c r="R104" s="269">
        <v>0</v>
      </c>
      <c r="S104" s="269">
        <v>0</v>
      </c>
      <c r="T104" s="271">
        <f t="shared" si="6"/>
        <v>114716568</v>
      </c>
      <c r="U104" s="271">
        <f t="shared" si="6"/>
        <v>20637684</v>
      </c>
      <c r="V104" s="271">
        <f t="shared" si="7"/>
        <v>14511081</v>
      </c>
      <c r="W104" s="271">
        <f t="shared" si="4"/>
        <v>149865333</v>
      </c>
      <c r="X104" s="271">
        <f t="shared" si="5"/>
        <v>128320</v>
      </c>
    </row>
    <row r="105" spans="1:24" x14ac:dyDescent="0.2">
      <c r="A105" s="267" t="s">
        <v>132</v>
      </c>
      <c r="B105" s="268">
        <v>47001</v>
      </c>
      <c r="C105" s="269">
        <v>250262058</v>
      </c>
      <c r="D105" s="269">
        <v>17246904</v>
      </c>
      <c r="E105" s="269">
        <v>1112902</v>
      </c>
      <c r="F105" s="269">
        <v>2832135</v>
      </c>
      <c r="G105" s="269">
        <v>15562270</v>
      </c>
      <c r="H105" s="269">
        <v>129754</v>
      </c>
      <c r="I105" s="269">
        <v>0</v>
      </c>
      <c r="J105" s="269">
        <v>0</v>
      </c>
      <c r="K105" s="270"/>
      <c r="L105" s="270"/>
      <c r="M105" s="269">
        <v>0</v>
      </c>
      <c r="N105" s="269">
        <v>0</v>
      </c>
      <c r="O105" s="269">
        <v>0</v>
      </c>
      <c r="P105" s="269">
        <v>0</v>
      </c>
      <c r="Q105" s="269">
        <v>0</v>
      </c>
      <c r="R105" s="269">
        <v>0</v>
      </c>
      <c r="S105" s="269">
        <v>0</v>
      </c>
      <c r="T105" s="271">
        <f t="shared" si="6"/>
        <v>250262058</v>
      </c>
      <c r="U105" s="271">
        <f t="shared" si="6"/>
        <v>17246904</v>
      </c>
      <c r="V105" s="271">
        <f t="shared" si="7"/>
        <v>15692024</v>
      </c>
      <c r="W105" s="271">
        <f t="shared" si="4"/>
        <v>283200986</v>
      </c>
      <c r="X105" s="271">
        <f t="shared" si="5"/>
        <v>203372</v>
      </c>
    </row>
    <row r="106" spans="1:24" x14ac:dyDescent="0.2">
      <c r="A106" s="267" t="s">
        <v>72</v>
      </c>
      <c r="B106" s="268">
        <v>48003</v>
      </c>
      <c r="C106" s="269">
        <v>697364774</v>
      </c>
      <c r="D106" s="269">
        <v>100204269</v>
      </c>
      <c r="E106" s="269">
        <v>165898</v>
      </c>
      <c r="F106" s="269">
        <v>905403</v>
      </c>
      <c r="G106" s="269">
        <v>47679952</v>
      </c>
      <c r="H106" s="269">
        <v>59057544</v>
      </c>
      <c r="I106" s="269">
        <v>2</v>
      </c>
      <c r="J106" s="269">
        <v>0</v>
      </c>
      <c r="K106" s="270"/>
      <c r="L106" s="270"/>
      <c r="M106" s="269">
        <v>0</v>
      </c>
      <c r="N106" s="269">
        <v>0</v>
      </c>
      <c r="O106" s="269">
        <v>2515825</v>
      </c>
      <c r="P106" s="269">
        <v>0</v>
      </c>
      <c r="Q106" s="269">
        <v>0</v>
      </c>
      <c r="R106" s="269">
        <v>845548</v>
      </c>
      <c r="S106" s="269">
        <v>0</v>
      </c>
      <c r="T106" s="271">
        <f t="shared" si="6"/>
        <v>697364776</v>
      </c>
      <c r="U106" s="271">
        <f t="shared" si="6"/>
        <v>102720094</v>
      </c>
      <c r="V106" s="271">
        <f t="shared" si="7"/>
        <v>107583044</v>
      </c>
      <c r="W106" s="271">
        <f t="shared" si="4"/>
        <v>907667914</v>
      </c>
      <c r="X106" s="271">
        <f t="shared" si="5"/>
        <v>801900</v>
      </c>
    </row>
    <row r="107" spans="1:24" x14ac:dyDescent="0.2">
      <c r="A107" s="267" t="s">
        <v>15</v>
      </c>
      <c r="B107" s="268">
        <v>49001</v>
      </c>
      <c r="C107" s="269">
        <v>76374000</v>
      </c>
      <c r="D107" s="269">
        <v>258392800</v>
      </c>
      <c r="E107" s="269">
        <v>579700</v>
      </c>
      <c r="F107" s="269">
        <v>558000</v>
      </c>
      <c r="G107" s="269">
        <v>43913300</v>
      </c>
      <c r="H107" s="269">
        <v>2501530</v>
      </c>
      <c r="I107" s="269">
        <v>0</v>
      </c>
      <c r="J107" s="269">
        <v>0</v>
      </c>
      <c r="K107" s="270"/>
      <c r="L107" s="270"/>
      <c r="M107" s="269">
        <v>11712</v>
      </c>
      <c r="N107" s="269">
        <v>0</v>
      </c>
      <c r="O107" s="269">
        <v>0</v>
      </c>
      <c r="P107" s="269">
        <v>0</v>
      </c>
      <c r="Q107" s="269">
        <v>0</v>
      </c>
      <c r="R107" s="269">
        <v>0</v>
      </c>
      <c r="S107" s="269">
        <v>0</v>
      </c>
      <c r="T107" s="271">
        <f t="shared" si="6"/>
        <v>76374000</v>
      </c>
      <c r="U107" s="271">
        <f t="shared" si="6"/>
        <v>258392800</v>
      </c>
      <c r="V107" s="271">
        <f t="shared" si="7"/>
        <v>46426542</v>
      </c>
      <c r="W107" s="271">
        <f t="shared" si="4"/>
        <v>381193342</v>
      </c>
      <c r="X107" s="271">
        <f t="shared" si="5"/>
        <v>489241</v>
      </c>
    </row>
    <row r="108" spans="1:24" x14ac:dyDescent="0.2">
      <c r="A108" s="267" t="s">
        <v>22</v>
      </c>
      <c r="B108" s="268">
        <v>49002</v>
      </c>
      <c r="C108" s="269">
        <v>135666600</v>
      </c>
      <c r="D108" s="269">
        <v>3194683200</v>
      </c>
      <c r="E108" s="269">
        <v>2598100</v>
      </c>
      <c r="F108" s="269">
        <v>6506700</v>
      </c>
      <c r="G108" s="269">
        <v>921633100</v>
      </c>
      <c r="H108" s="269">
        <v>64914330</v>
      </c>
      <c r="I108" s="269">
        <v>0</v>
      </c>
      <c r="J108" s="269">
        <v>0</v>
      </c>
      <c r="K108" s="270"/>
      <c r="L108" s="270"/>
      <c r="M108" s="269">
        <v>12663323</v>
      </c>
      <c r="N108" s="269">
        <v>0</v>
      </c>
      <c r="O108" s="269">
        <v>0</v>
      </c>
      <c r="P108" s="269">
        <v>0</v>
      </c>
      <c r="Q108" s="269">
        <v>0</v>
      </c>
      <c r="R108" s="269">
        <v>0</v>
      </c>
      <c r="S108" s="269">
        <v>0</v>
      </c>
      <c r="T108" s="271">
        <f t="shared" si="6"/>
        <v>135666600</v>
      </c>
      <c r="U108" s="271">
        <f t="shared" si="6"/>
        <v>3194683200</v>
      </c>
      <c r="V108" s="271">
        <f t="shared" si="7"/>
        <v>999210753</v>
      </c>
      <c r="W108" s="271">
        <f t="shared" si="4"/>
        <v>4329560553</v>
      </c>
      <c r="X108" s="271">
        <f t="shared" si="5"/>
        <v>6701862</v>
      </c>
    </row>
    <row r="109" spans="1:24" x14ac:dyDescent="0.2">
      <c r="A109" s="267" t="s">
        <v>37</v>
      </c>
      <c r="B109" s="268">
        <v>49003</v>
      </c>
      <c r="C109" s="269">
        <v>279313108</v>
      </c>
      <c r="D109" s="269">
        <v>571704401</v>
      </c>
      <c r="E109" s="269">
        <v>569013</v>
      </c>
      <c r="F109" s="269">
        <v>1825323</v>
      </c>
      <c r="G109" s="269">
        <v>132807910</v>
      </c>
      <c r="H109" s="269">
        <v>5914499</v>
      </c>
      <c r="I109" s="269">
        <v>0</v>
      </c>
      <c r="J109" s="269">
        <v>0</v>
      </c>
      <c r="K109" s="270"/>
      <c r="L109" s="270"/>
      <c r="M109" s="269">
        <v>852453</v>
      </c>
      <c r="N109" s="269">
        <v>0</v>
      </c>
      <c r="O109" s="269">
        <v>0</v>
      </c>
      <c r="P109" s="269">
        <v>0</v>
      </c>
      <c r="Q109" s="269">
        <v>0</v>
      </c>
      <c r="R109" s="269">
        <v>0</v>
      </c>
      <c r="S109" s="269">
        <v>0</v>
      </c>
      <c r="T109" s="271">
        <f t="shared" si="6"/>
        <v>279313108</v>
      </c>
      <c r="U109" s="271">
        <f t="shared" si="6"/>
        <v>571704401</v>
      </c>
      <c r="V109" s="271">
        <f t="shared" si="7"/>
        <v>139574862</v>
      </c>
      <c r="W109" s="271">
        <f t="shared" si="4"/>
        <v>990592371</v>
      </c>
      <c r="X109" s="271">
        <f t="shared" si="5"/>
        <v>1240552</v>
      </c>
    </row>
    <row r="110" spans="1:24" x14ac:dyDescent="0.2">
      <c r="A110" s="267" t="s">
        <v>57</v>
      </c>
      <c r="B110" s="268">
        <v>49004</v>
      </c>
      <c r="C110" s="269">
        <v>128966100</v>
      </c>
      <c r="D110" s="269">
        <v>284534900</v>
      </c>
      <c r="E110" s="269">
        <v>616900</v>
      </c>
      <c r="F110" s="269">
        <v>2246300</v>
      </c>
      <c r="G110" s="269">
        <v>48840800</v>
      </c>
      <c r="H110" s="269">
        <v>9501850</v>
      </c>
      <c r="I110" s="269">
        <v>0</v>
      </c>
      <c r="J110" s="269">
        <v>29000</v>
      </c>
      <c r="K110" s="270"/>
      <c r="L110" s="270"/>
      <c r="M110" s="269">
        <v>342729</v>
      </c>
      <c r="N110" s="269">
        <v>0</v>
      </c>
      <c r="O110" s="269">
        <v>0</v>
      </c>
      <c r="P110" s="269">
        <v>0</v>
      </c>
      <c r="Q110" s="269">
        <v>0</v>
      </c>
      <c r="R110" s="269">
        <v>0</v>
      </c>
      <c r="S110" s="269">
        <v>0</v>
      </c>
      <c r="T110" s="271">
        <f t="shared" si="6"/>
        <v>128966100</v>
      </c>
      <c r="U110" s="271">
        <f t="shared" si="6"/>
        <v>284563900</v>
      </c>
      <c r="V110" s="271">
        <f t="shared" si="7"/>
        <v>58685379</v>
      </c>
      <c r="W110" s="271">
        <f t="shared" si="4"/>
        <v>472215379</v>
      </c>
      <c r="X110" s="271">
        <f t="shared" si="5"/>
        <v>583714</v>
      </c>
    </row>
    <row r="111" spans="1:24" x14ac:dyDescent="0.2">
      <c r="A111" s="267" t="s">
        <v>110</v>
      </c>
      <c r="B111" s="268">
        <v>49005</v>
      </c>
      <c r="C111" s="269">
        <v>13113262</v>
      </c>
      <c r="D111" s="269">
        <v>11389644829</v>
      </c>
      <c r="E111" s="269">
        <v>24777100</v>
      </c>
      <c r="F111" s="269">
        <v>30306400</v>
      </c>
      <c r="G111" s="269">
        <v>8218529411</v>
      </c>
      <c r="H111" s="269">
        <v>220579640</v>
      </c>
      <c r="I111" s="269">
        <v>0</v>
      </c>
      <c r="J111" s="269">
        <v>0</v>
      </c>
      <c r="K111" s="270"/>
      <c r="L111" s="270"/>
      <c r="M111" s="269">
        <v>18278233</v>
      </c>
      <c r="N111" s="269">
        <v>0</v>
      </c>
      <c r="O111" s="269">
        <v>11256900</v>
      </c>
      <c r="P111" s="269">
        <v>0</v>
      </c>
      <c r="Q111" s="269">
        <v>0</v>
      </c>
      <c r="R111" s="269">
        <v>18703400</v>
      </c>
      <c r="S111" s="269">
        <v>0</v>
      </c>
      <c r="T111" s="271">
        <f t="shared" si="6"/>
        <v>13113262</v>
      </c>
      <c r="U111" s="271">
        <f t="shared" si="6"/>
        <v>11400901729</v>
      </c>
      <c r="V111" s="271">
        <f t="shared" si="7"/>
        <v>8476090684</v>
      </c>
      <c r="W111" s="271">
        <f t="shared" si="4"/>
        <v>19890105675</v>
      </c>
      <c r="X111" s="271">
        <f t="shared" si="5"/>
        <v>36445566</v>
      </c>
    </row>
    <row r="112" spans="1:24" x14ac:dyDescent="0.2">
      <c r="A112" s="267" t="s">
        <v>120</v>
      </c>
      <c r="B112" s="268">
        <v>49006</v>
      </c>
      <c r="C112" s="269">
        <v>191583200</v>
      </c>
      <c r="D112" s="269">
        <v>628894000</v>
      </c>
      <c r="E112" s="269">
        <v>550900</v>
      </c>
      <c r="F112" s="269">
        <v>835900</v>
      </c>
      <c r="G112" s="269">
        <v>485885500</v>
      </c>
      <c r="H112" s="269">
        <v>6321524</v>
      </c>
      <c r="I112" s="269">
        <v>0</v>
      </c>
      <c r="J112" s="269">
        <v>0</v>
      </c>
      <c r="K112" s="270"/>
      <c r="L112" s="270"/>
      <c r="M112" s="269">
        <v>13798104</v>
      </c>
      <c r="N112" s="269">
        <v>0</v>
      </c>
      <c r="O112" s="269">
        <v>0</v>
      </c>
      <c r="P112" s="269">
        <v>0</v>
      </c>
      <c r="Q112" s="269">
        <v>0</v>
      </c>
      <c r="R112" s="269">
        <v>0</v>
      </c>
      <c r="S112" s="269">
        <v>0</v>
      </c>
      <c r="T112" s="271">
        <f t="shared" si="6"/>
        <v>191583200</v>
      </c>
      <c r="U112" s="271">
        <f t="shared" si="6"/>
        <v>628894000</v>
      </c>
      <c r="V112" s="271">
        <f t="shared" si="7"/>
        <v>506005128</v>
      </c>
      <c r="W112" s="271">
        <f t="shared" si="4"/>
        <v>1326482328</v>
      </c>
      <c r="X112" s="271">
        <f t="shared" si="5"/>
        <v>2217939</v>
      </c>
    </row>
    <row r="113" spans="1:24" x14ac:dyDescent="0.2">
      <c r="A113" s="267" t="s">
        <v>130</v>
      </c>
      <c r="B113" s="268">
        <v>49007</v>
      </c>
      <c r="C113" s="269">
        <v>175420335</v>
      </c>
      <c r="D113" s="269">
        <v>795553614</v>
      </c>
      <c r="E113" s="269">
        <v>849600</v>
      </c>
      <c r="F113" s="269">
        <v>3104200</v>
      </c>
      <c r="G113" s="269">
        <v>200164885</v>
      </c>
      <c r="H113" s="269">
        <v>28597508</v>
      </c>
      <c r="I113" s="269">
        <v>0</v>
      </c>
      <c r="J113" s="269">
        <v>0</v>
      </c>
      <c r="K113" s="270"/>
      <c r="L113" s="270"/>
      <c r="M113" s="269">
        <v>1959465</v>
      </c>
      <c r="N113" s="269">
        <v>0</v>
      </c>
      <c r="O113" s="269">
        <v>0</v>
      </c>
      <c r="P113" s="269">
        <v>0</v>
      </c>
      <c r="Q113" s="269">
        <v>0</v>
      </c>
      <c r="R113" s="269">
        <v>0</v>
      </c>
      <c r="S113" s="269">
        <v>0</v>
      </c>
      <c r="T113" s="271">
        <f t="shared" si="6"/>
        <v>175420335</v>
      </c>
      <c r="U113" s="271">
        <f t="shared" si="6"/>
        <v>795553614</v>
      </c>
      <c r="V113" s="271">
        <f t="shared" si="7"/>
        <v>230721858</v>
      </c>
      <c r="W113" s="271">
        <f t="shared" si="4"/>
        <v>1201695807</v>
      </c>
      <c r="X113" s="271">
        <f t="shared" si="5"/>
        <v>1701422</v>
      </c>
    </row>
    <row r="114" spans="1:24" x14ac:dyDescent="0.2">
      <c r="A114" s="267" t="s">
        <v>53</v>
      </c>
      <c r="B114" s="268">
        <v>50003</v>
      </c>
      <c r="C114" s="269">
        <v>404579468</v>
      </c>
      <c r="D114" s="269">
        <v>180764149</v>
      </c>
      <c r="E114" s="269">
        <v>775490</v>
      </c>
      <c r="F114" s="269">
        <v>2201520</v>
      </c>
      <c r="G114" s="269">
        <v>69119131</v>
      </c>
      <c r="H114" s="269">
        <v>3665749</v>
      </c>
      <c r="I114" s="269">
        <v>0</v>
      </c>
      <c r="J114" s="269">
        <v>0</v>
      </c>
      <c r="K114" s="270"/>
      <c r="L114" s="270"/>
      <c r="M114" s="269">
        <v>269679</v>
      </c>
      <c r="N114" s="269">
        <v>0</v>
      </c>
      <c r="O114" s="269">
        <v>0</v>
      </c>
      <c r="P114" s="269">
        <v>0</v>
      </c>
      <c r="Q114" s="269">
        <v>0</v>
      </c>
      <c r="R114" s="269">
        <v>0</v>
      </c>
      <c r="S114" s="269">
        <v>0</v>
      </c>
      <c r="T114" s="271">
        <f t="shared" si="6"/>
        <v>404579468</v>
      </c>
      <c r="U114" s="271">
        <f t="shared" si="6"/>
        <v>180764149</v>
      </c>
      <c r="V114" s="271">
        <f t="shared" si="7"/>
        <v>73054559</v>
      </c>
      <c r="W114" s="271">
        <f t="shared" si="4"/>
        <v>658398176</v>
      </c>
      <c r="X114" s="271">
        <f t="shared" si="5"/>
        <v>645502</v>
      </c>
    </row>
    <row r="115" spans="1:24" x14ac:dyDescent="0.2">
      <c r="A115" s="267" t="s">
        <v>377</v>
      </c>
      <c r="B115" s="268">
        <v>50005</v>
      </c>
      <c r="C115" s="269">
        <v>208125546</v>
      </c>
      <c r="D115" s="269">
        <v>109157959</v>
      </c>
      <c r="E115" s="269">
        <v>252682</v>
      </c>
      <c r="F115" s="269">
        <v>1923831</v>
      </c>
      <c r="G115" s="269">
        <v>39391114</v>
      </c>
      <c r="H115" s="269">
        <v>773276</v>
      </c>
      <c r="I115" s="269">
        <v>0</v>
      </c>
      <c r="J115" s="269">
        <v>0</v>
      </c>
      <c r="K115" s="270"/>
      <c r="L115" s="270"/>
      <c r="M115" s="269">
        <v>185412</v>
      </c>
      <c r="N115" s="269">
        <v>0</v>
      </c>
      <c r="O115" s="269">
        <v>0</v>
      </c>
      <c r="P115" s="269">
        <v>0</v>
      </c>
      <c r="Q115" s="269">
        <v>0</v>
      </c>
      <c r="R115" s="269">
        <v>0</v>
      </c>
      <c r="S115" s="269">
        <v>0</v>
      </c>
      <c r="T115" s="271">
        <f t="shared" si="6"/>
        <v>208125546</v>
      </c>
      <c r="U115" s="271">
        <f t="shared" si="6"/>
        <v>109157959</v>
      </c>
      <c r="V115" s="271">
        <f t="shared" si="7"/>
        <v>40349802</v>
      </c>
      <c r="W115" s="271">
        <f t="shared" si="4"/>
        <v>357633307</v>
      </c>
      <c r="X115" s="271">
        <f t="shared" si="5"/>
        <v>359632</v>
      </c>
    </row>
    <row r="116" spans="1:24" x14ac:dyDescent="0.2">
      <c r="A116" s="267" t="s">
        <v>41</v>
      </c>
      <c r="B116" s="268">
        <v>51001</v>
      </c>
      <c r="C116" s="269">
        <v>31016557</v>
      </c>
      <c r="D116" s="269">
        <v>828038023</v>
      </c>
      <c r="E116" s="269">
        <v>11939239</v>
      </c>
      <c r="F116" s="269">
        <v>26341492</v>
      </c>
      <c r="G116" s="269">
        <v>308788784</v>
      </c>
      <c r="H116" s="269">
        <v>4316846</v>
      </c>
      <c r="I116" s="269">
        <v>111270</v>
      </c>
      <c r="J116" s="269">
        <v>0</v>
      </c>
      <c r="K116" s="270"/>
      <c r="L116" s="270"/>
      <c r="M116" s="269">
        <v>2155727</v>
      </c>
      <c r="N116" s="269">
        <v>0</v>
      </c>
      <c r="O116" s="269">
        <v>0</v>
      </c>
      <c r="P116" s="269">
        <v>0</v>
      </c>
      <c r="Q116" s="269">
        <v>0</v>
      </c>
      <c r="R116" s="269">
        <v>0</v>
      </c>
      <c r="S116" s="269">
        <v>0</v>
      </c>
      <c r="T116" s="271">
        <f t="shared" si="6"/>
        <v>31127827</v>
      </c>
      <c r="U116" s="271">
        <f t="shared" si="6"/>
        <v>828038023</v>
      </c>
      <c r="V116" s="271">
        <f t="shared" si="7"/>
        <v>315261357</v>
      </c>
      <c r="W116" s="271">
        <f t="shared" si="4"/>
        <v>1174427207</v>
      </c>
      <c r="X116" s="271">
        <f t="shared" si="5"/>
        <v>1881423</v>
      </c>
    </row>
    <row r="117" spans="1:24" x14ac:dyDescent="0.2">
      <c r="A117" s="267" t="s">
        <v>69</v>
      </c>
      <c r="B117" s="268">
        <v>51002</v>
      </c>
      <c r="C117" s="269">
        <v>4375885</v>
      </c>
      <c r="D117" s="269">
        <v>489265916</v>
      </c>
      <c r="E117" s="269">
        <v>7225477</v>
      </c>
      <c r="F117" s="269">
        <v>5712002</v>
      </c>
      <c r="G117" s="269">
        <v>591778873</v>
      </c>
      <c r="H117" s="269">
        <v>17123427</v>
      </c>
      <c r="I117" s="269">
        <v>0</v>
      </c>
      <c r="J117" s="269">
        <v>0</v>
      </c>
      <c r="K117" s="270"/>
      <c r="L117" s="270"/>
      <c r="M117" s="269">
        <v>0</v>
      </c>
      <c r="N117" s="269">
        <v>0</v>
      </c>
      <c r="O117" s="269">
        <v>0</v>
      </c>
      <c r="P117" s="269">
        <v>0</v>
      </c>
      <c r="Q117" s="269">
        <v>0</v>
      </c>
      <c r="R117" s="269">
        <v>0</v>
      </c>
      <c r="S117" s="269">
        <v>0</v>
      </c>
      <c r="T117" s="271">
        <f t="shared" si="6"/>
        <v>4375885</v>
      </c>
      <c r="U117" s="271">
        <f t="shared" si="6"/>
        <v>489265916</v>
      </c>
      <c r="V117" s="271">
        <f t="shared" si="7"/>
        <v>608902300</v>
      </c>
      <c r="W117" s="271">
        <f t="shared" si="4"/>
        <v>1102544101</v>
      </c>
      <c r="X117" s="271">
        <f t="shared" si="5"/>
        <v>2204942</v>
      </c>
    </row>
    <row r="118" spans="1:24" x14ac:dyDescent="0.2">
      <c r="A118" s="267" t="s">
        <v>96</v>
      </c>
      <c r="B118" s="268">
        <v>51003</v>
      </c>
      <c r="C118" s="269">
        <v>84049652</v>
      </c>
      <c r="D118" s="269">
        <v>76014836</v>
      </c>
      <c r="E118" s="269">
        <v>1229809</v>
      </c>
      <c r="F118" s="269">
        <v>2676343</v>
      </c>
      <c r="G118" s="269">
        <v>26145459</v>
      </c>
      <c r="H118" s="269">
        <v>14836</v>
      </c>
      <c r="I118" s="269">
        <v>0</v>
      </c>
      <c r="J118" s="269">
        <v>0</v>
      </c>
      <c r="K118" s="270"/>
      <c r="L118" s="270"/>
      <c r="M118" s="269">
        <v>0</v>
      </c>
      <c r="N118" s="269">
        <v>0</v>
      </c>
      <c r="O118" s="269">
        <v>0</v>
      </c>
      <c r="P118" s="269">
        <v>0</v>
      </c>
      <c r="Q118" s="269">
        <v>0</v>
      </c>
      <c r="R118" s="269">
        <v>0</v>
      </c>
      <c r="S118" s="269">
        <v>0</v>
      </c>
      <c r="T118" s="271">
        <f t="shared" si="6"/>
        <v>84049652</v>
      </c>
      <c r="U118" s="271">
        <f t="shared" si="6"/>
        <v>76014836</v>
      </c>
      <c r="V118" s="271">
        <f t="shared" si="7"/>
        <v>26160295</v>
      </c>
      <c r="W118" s="271">
        <f t="shared" si="4"/>
        <v>186224783</v>
      </c>
      <c r="X118" s="271">
        <f t="shared" si="5"/>
        <v>211141</v>
      </c>
    </row>
    <row r="119" spans="1:24" x14ac:dyDescent="0.2">
      <c r="A119" s="267" t="s">
        <v>104</v>
      </c>
      <c r="B119" s="268">
        <v>51004</v>
      </c>
      <c r="C119" s="269">
        <v>55680807</v>
      </c>
      <c r="D119" s="269">
        <v>8850494490</v>
      </c>
      <c r="E119" s="269">
        <v>41919461</v>
      </c>
      <c r="F119" s="269">
        <v>64244383</v>
      </c>
      <c r="G119" s="269">
        <v>5369753878</v>
      </c>
      <c r="H119" s="269">
        <v>181545602</v>
      </c>
      <c r="I119" s="269">
        <v>0</v>
      </c>
      <c r="J119" s="269">
        <v>0</v>
      </c>
      <c r="K119" s="270"/>
      <c r="L119" s="270"/>
      <c r="M119" s="269">
        <v>16724775</v>
      </c>
      <c r="N119" s="269">
        <v>0</v>
      </c>
      <c r="O119" s="269">
        <v>5005553</v>
      </c>
      <c r="P119" s="269">
        <v>0</v>
      </c>
      <c r="Q119" s="269">
        <v>0</v>
      </c>
      <c r="R119" s="269">
        <v>16320569</v>
      </c>
      <c r="S119" s="269">
        <v>0</v>
      </c>
      <c r="T119" s="271">
        <f t="shared" si="6"/>
        <v>55680807</v>
      </c>
      <c r="U119" s="271">
        <f t="shared" si="6"/>
        <v>8855500043</v>
      </c>
      <c r="V119" s="271">
        <f t="shared" si="7"/>
        <v>5584344824</v>
      </c>
      <c r="W119" s="271">
        <f t="shared" si="4"/>
        <v>14495525674</v>
      </c>
      <c r="X119" s="271">
        <f t="shared" si="5"/>
        <v>25730405</v>
      </c>
    </row>
    <row r="120" spans="1:24" x14ac:dyDescent="0.2">
      <c r="A120" s="267" t="s">
        <v>123</v>
      </c>
      <c r="B120" s="268">
        <v>51005</v>
      </c>
      <c r="C120" s="269">
        <v>204128055</v>
      </c>
      <c r="D120" s="269">
        <v>80853405</v>
      </c>
      <c r="E120" s="269">
        <v>2803967</v>
      </c>
      <c r="F120" s="269">
        <v>3695426</v>
      </c>
      <c r="G120" s="269">
        <v>65938034</v>
      </c>
      <c r="H120" s="269">
        <v>169469</v>
      </c>
      <c r="I120" s="269">
        <v>0</v>
      </c>
      <c r="J120" s="269">
        <v>0</v>
      </c>
      <c r="K120" s="270"/>
      <c r="L120" s="270"/>
      <c r="M120" s="269">
        <v>0</v>
      </c>
      <c r="N120" s="269">
        <v>0</v>
      </c>
      <c r="O120" s="269">
        <v>0</v>
      </c>
      <c r="P120" s="269">
        <v>0</v>
      </c>
      <c r="Q120" s="269">
        <v>0</v>
      </c>
      <c r="R120" s="269">
        <v>0</v>
      </c>
      <c r="S120" s="269">
        <v>0</v>
      </c>
      <c r="T120" s="271">
        <f t="shared" si="6"/>
        <v>204128055</v>
      </c>
      <c r="U120" s="271">
        <f t="shared" si="6"/>
        <v>80853405</v>
      </c>
      <c r="V120" s="271">
        <f t="shared" si="7"/>
        <v>66107503</v>
      </c>
      <c r="W120" s="271">
        <f t="shared" si="4"/>
        <v>351088963</v>
      </c>
      <c r="X120" s="271">
        <f t="shared" si="5"/>
        <v>388860</v>
      </c>
    </row>
    <row r="121" spans="1:24" x14ac:dyDescent="0.2">
      <c r="A121" s="267" t="s">
        <v>19</v>
      </c>
      <c r="B121" s="268">
        <v>52001</v>
      </c>
      <c r="C121" s="269">
        <v>281640816</v>
      </c>
      <c r="D121" s="269">
        <v>25909988</v>
      </c>
      <c r="E121" s="269">
        <v>1057609</v>
      </c>
      <c r="F121" s="269">
        <v>3057628</v>
      </c>
      <c r="G121" s="269">
        <v>19084521</v>
      </c>
      <c r="H121" s="269">
        <v>2579</v>
      </c>
      <c r="I121" s="269">
        <v>1031</v>
      </c>
      <c r="J121" s="269">
        <v>4240</v>
      </c>
      <c r="K121" s="270"/>
      <c r="L121" s="270"/>
      <c r="M121" s="269">
        <v>12080</v>
      </c>
      <c r="N121" s="269">
        <v>0</v>
      </c>
      <c r="O121" s="269">
        <v>0</v>
      </c>
      <c r="P121" s="269">
        <v>0</v>
      </c>
      <c r="Q121" s="269">
        <v>0</v>
      </c>
      <c r="R121" s="269">
        <v>0</v>
      </c>
      <c r="S121" s="269">
        <v>0</v>
      </c>
      <c r="T121" s="271">
        <f t="shared" si="6"/>
        <v>281641847</v>
      </c>
      <c r="U121" s="271">
        <f t="shared" si="6"/>
        <v>25914228</v>
      </c>
      <c r="V121" s="271">
        <f t="shared" si="7"/>
        <v>19099180</v>
      </c>
      <c r="W121" s="271">
        <f t="shared" si="4"/>
        <v>326655255</v>
      </c>
      <c r="X121" s="271">
        <f t="shared" si="5"/>
        <v>240812</v>
      </c>
    </row>
    <row r="122" spans="1:24" x14ac:dyDescent="0.2">
      <c r="A122" s="267" t="s">
        <v>82</v>
      </c>
      <c r="B122" s="268">
        <v>52004</v>
      </c>
      <c r="C122" s="269">
        <v>385400879</v>
      </c>
      <c r="D122" s="269">
        <v>64338459</v>
      </c>
      <c r="E122" s="269">
        <v>2914161</v>
      </c>
      <c r="F122" s="269">
        <v>4838009</v>
      </c>
      <c r="G122" s="269">
        <v>50695822</v>
      </c>
      <c r="H122" s="269">
        <v>9772297</v>
      </c>
      <c r="I122" s="269">
        <v>0</v>
      </c>
      <c r="J122" s="269">
        <v>80704</v>
      </c>
      <c r="K122" s="270"/>
      <c r="L122" s="270"/>
      <c r="M122" s="269">
        <v>16524</v>
      </c>
      <c r="N122" s="269">
        <v>0</v>
      </c>
      <c r="O122" s="269">
        <v>0</v>
      </c>
      <c r="P122" s="269">
        <v>0</v>
      </c>
      <c r="Q122" s="269">
        <v>0</v>
      </c>
      <c r="R122" s="269">
        <v>0</v>
      </c>
      <c r="S122" s="269">
        <v>0</v>
      </c>
      <c r="T122" s="271">
        <f t="shared" si="6"/>
        <v>385400879</v>
      </c>
      <c r="U122" s="271">
        <f t="shared" si="6"/>
        <v>64419163</v>
      </c>
      <c r="V122" s="271">
        <f t="shared" si="7"/>
        <v>60484643</v>
      </c>
      <c r="W122" s="271">
        <f t="shared" si="4"/>
        <v>510304685</v>
      </c>
      <c r="X122" s="271">
        <f t="shared" si="5"/>
        <v>455484</v>
      </c>
    </row>
    <row r="123" spans="1:24" x14ac:dyDescent="0.2">
      <c r="A123" s="267" t="s">
        <v>59</v>
      </c>
      <c r="B123" s="268">
        <v>53001</v>
      </c>
      <c r="C123" s="269">
        <v>236806285</v>
      </c>
      <c r="D123" s="269">
        <v>63594991</v>
      </c>
      <c r="E123" s="269">
        <v>3953500</v>
      </c>
      <c r="F123" s="269">
        <v>3542057</v>
      </c>
      <c r="G123" s="269">
        <v>51396066</v>
      </c>
      <c r="H123" s="269">
        <v>1598180</v>
      </c>
      <c r="I123" s="269">
        <v>0</v>
      </c>
      <c r="J123" s="269">
        <v>0</v>
      </c>
      <c r="K123" s="270"/>
      <c r="L123" s="270"/>
      <c r="M123" s="269">
        <v>0</v>
      </c>
      <c r="N123" s="269">
        <v>0</v>
      </c>
      <c r="O123" s="269">
        <v>0</v>
      </c>
      <c r="P123" s="269">
        <v>0</v>
      </c>
      <c r="Q123" s="269">
        <v>0</v>
      </c>
      <c r="R123" s="269">
        <v>0</v>
      </c>
      <c r="S123" s="269">
        <v>0</v>
      </c>
      <c r="T123" s="271">
        <f t="shared" si="6"/>
        <v>236806285</v>
      </c>
      <c r="U123" s="271">
        <f t="shared" si="6"/>
        <v>63594991</v>
      </c>
      <c r="V123" s="271">
        <f t="shared" si="7"/>
        <v>52994246</v>
      </c>
      <c r="W123" s="271">
        <f t="shared" si="4"/>
        <v>353395522</v>
      </c>
      <c r="X123" s="271">
        <f t="shared" si="5"/>
        <v>351346</v>
      </c>
    </row>
    <row r="124" spans="1:24" x14ac:dyDescent="0.2">
      <c r="A124" s="267" t="s">
        <v>71</v>
      </c>
      <c r="B124" s="268">
        <v>53002</v>
      </c>
      <c r="C124" s="269">
        <v>564215510</v>
      </c>
      <c r="D124" s="269">
        <v>44058214</v>
      </c>
      <c r="E124" s="269">
        <v>18935446</v>
      </c>
      <c r="F124" s="269">
        <v>3318344</v>
      </c>
      <c r="G124" s="269">
        <v>36984203</v>
      </c>
      <c r="H124" s="269">
        <v>1212661</v>
      </c>
      <c r="I124" s="269">
        <v>1</v>
      </c>
      <c r="J124" s="269">
        <v>0</v>
      </c>
      <c r="K124" s="270"/>
      <c r="L124" s="270"/>
      <c r="M124" s="269">
        <v>0</v>
      </c>
      <c r="N124" s="269">
        <v>0</v>
      </c>
      <c r="O124" s="269">
        <v>0</v>
      </c>
      <c r="P124" s="269">
        <v>0</v>
      </c>
      <c r="Q124" s="269">
        <v>0</v>
      </c>
      <c r="R124" s="269">
        <v>0</v>
      </c>
      <c r="S124" s="269">
        <v>0</v>
      </c>
      <c r="T124" s="271">
        <f t="shared" si="6"/>
        <v>564215511</v>
      </c>
      <c r="U124" s="271">
        <f t="shared" si="6"/>
        <v>44058214</v>
      </c>
      <c r="V124" s="271">
        <f t="shared" si="7"/>
        <v>38196864</v>
      </c>
      <c r="W124" s="271">
        <f t="shared" si="4"/>
        <v>646470589</v>
      </c>
      <c r="X124" s="271">
        <f t="shared" si="5"/>
        <v>472362</v>
      </c>
    </row>
    <row r="125" spans="1:24" x14ac:dyDescent="0.2">
      <c r="A125" s="267" t="s">
        <v>434</v>
      </c>
      <c r="B125" s="268">
        <v>54002</v>
      </c>
      <c r="C125" s="269">
        <v>762666848</v>
      </c>
      <c r="D125" s="269">
        <v>223388527</v>
      </c>
      <c r="E125" s="269">
        <v>2765311</v>
      </c>
      <c r="F125" s="269">
        <v>4521604</v>
      </c>
      <c r="G125" s="269">
        <v>150772295</v>
      </c>
      <c r="H125" s="269">
        <v>8856191</v>
      </c>
      <c r="I125" s="269">
        <v>0</v>
      </c>
      <c r="J125" s="269">
        <v>0</v>
      </c>
      <c r="K125" s="270"/>
      <c r="L125" s="270"/>
      <c r="M125" s="269">
        <v>0</v>
      </c>
      <c r="N125" s="269">
        <v>0</v>
      </c>
      <c r="O125" s="269">
        <v>0</v>
      </c>
      <c r="P125" s="269">
        <v>0</v>
      </c>
      <c r="Q125" s="269">
        <v>0</v>
      </c>
      <c r="R125" s="269">
        <v>0</v>
      </c>
      <c r="S125" s="269">
        <v>0</v>
      </c>
      <c r="T125" s="271">
        <f t="shared" si="6"/>
        <v>762666848</v>
      </c>
      <c r="U125" s="271">
        <f t="shared" si="6"/>
        <v>223388527</v>
      </c>
      <c r="V125" s="271">
        <f t="shared" si="7"/>
        <v>159628486</v>
      </c>
      <c r="W125" s="271">
        <f t="shared" si="4"/>
        <v>1145683861</v>
      </c>
      <c r="X125" s="271">
        <f t="shared" si="5"/>
        <v>1126158</v>
      </c>
    </row>
    <row r="126" spans="1:24" x14ac:dyDescent="0.2">
      <c r="A126" s="267" t="s">
        <v>106</v>
      </c>
      <c r="B126" s="268">
        <v>54004</v>
      </c>
      <c r="C126" s="269">
        <v>193440568</v>
      </c>
      <c r="D126" s="269">
        <v>38779396</v>
      </c>
      <c r="E126" s="269">
        <v>243990</v>
      </c>
      <c r="F126" s="269">
        <v>458542</v>
      </c>
      <c r="G126" s="269">
        <v>33890593</v>
      </c>
      <c r="H126" s="269">
        <v>1501315</v>
      </c>
      <c r="I126" s="269">
        <v>0</v>
      </c>
      <c r="J126" s="269">
        <v>0</v>
      </c>
      <c r="K126" s="270"/>
      <c r="L126" s="270"/>
      <c r="M126" s="269">
        <v>0</v>
      </c>
      <c r="N126" s="269">
        <v>0</v>
      </c>
      <c r="O126" s="269">
        <v>0</v>
      </c>
      <c r="P126" s="269">
        <v>0</v>
      </c>
      <c r="Q126" s="269">
        <v>0</v>
      </c>
      <c r="R126" s="269">
        <v>0</v>
      </c>
      <c r="S126" s="269">
        <v>0</v>
      </c>
      <c r="T126" s="271">
        <f t="shared" si="6"/>
        <v>193440568</v>
      </c>
      <c r="U126" s="271">
        <f t="shared" si="6"/>
        <v>38779396</v>
      </c>
      <c r="V126" s="271">
        <f t="shared" si="7"/>
        <v>35391908</v>
      </c>
      <c r="W126" s="271">
        <f t="shared" si="4"/>
        <v>267611872</v>
      </c>
      <c r="X126" s="271">
        <f t="shared" si="5"/>
        <v>249847</v>
      </c>
    </row>
    <row r="127" spans="1:24" x14ac:dyDescent="0.2">
      <c r="A127" s="267" t="s">
        <v>116</v>
      </c>
      <c r="B127" s="268">
        <v>54006</v>
      </c>
      <c r="C127" s="269">
        <v>170971957</v>
      </c>
      <c r="D127" s="269">
        <v>20029435</v>
      </c>
      <c r="E127" s="269">
        <v>817218</v>
      </c>
      <c r="F127" s="269">
        <v>626384</v>
      </c>
      <c r="G127" s="269">
        <v>12174923</v>
      </c>
      <c r="H127" s="269">
        <v>11398626</v>
      </c>
      <c r="I127" s="269">
        <v>0</v>
      </c>
      <c r="J127" s="269">
        <v>0</v>
      </c>
      <c r="K127" s="270"/>
      <c r="L127" s="270"/>
      <c r="M127" s="269">
        <v>0</v>
      </c>
      <c r="N127" s="269">
        <v>0</v>
      </c>
      <c r="O127" s="269">
        <v>0</v>
      </c>
      <c r="P127" s="269">
        <v>0</v>
      </c>
      <c r="Q127" s="269">
        <v>0</v>
      </c>
      <c r="R127" s="269">
        <v>0</v>
      </c>
      <c r="S127" s="269">
        <v>0</v>
      </c>
      <c r="T127" s="271">
        <f t="shared" si="6"/>
        <v>170971957</v>
      </c>
      <c r="U127" s="271">
        <f t="shared" si="6"/>
        <v>20029435</v>
      </c>
      <c r="V127" s="271">
        <f t="shared" si="7"/>
        <v>23573549</v>
      </c>
      <c r="W127" s="271">
        <f t="shared" si="4"/>
        <v>214574941</v>
      </c>
      <c r="X127" s="271">
        <f t="shared" si="5"/>
        <v>182810</v>
      </c>
    </row>
    <row r="128" spans="1:24" x14ac:dyDescent="0.2">
      <c r="A128" s="267" t="s">
        <v>134</v>
      </c>
      <c r="B128" s="268">
        <v>54007</v>
      </c>
      <c r="C128" s="269">
        <v>217448750</v>
      </c>
      <c r="D128" s="269">
        <v>71925529</v>
      </c>
      <c r="E128" s="269">
        <v>843933</v>
      </c>
      <c r="F128" s="269">
        <v>2086634</v>
      </c>
      <c r="G128" s="269">
        <v>59069429</v>
      </c>
      <c r="H128" s="269">
        <v>2190927</v>
      </c>
      <c r="I128" s="269">
        <v>0</v>
      </c>
      <c r="J128" s="269">
        <v>0</v>
      </c>
      <c r="K128" s="270"/>
      <c r="L128" s="270"/>
      <c r="M128" s="269">
        <v>0</v>
      </c>
      <c r="N128" s="269">
        <v>0</v>
      </c>
      <c r="O128" s="269">
        <v>0</v>
      </c>
      <c r="P128" s="269">
        <v>0</v>
      </c>
      <c r="Q128" s="269">
        <v>0</v>
      </c>
      <c r="R128" s="269">
        <v>0</v>
      </c>
      <c r="S128" s="269">
        <v>0</v>
      </c>
      <c r="T128" s="271">
        <f t="shared" si="6"/>
        <v>217448750</v>
      </c>
      <c r="U128" s="271">
        <f t="shared" si="6"/>
        <v>71925529</v>
      </c>
      <c r="V128" s="271">
        <f t="shared" si="7"/>
        <v>61260356</v>
      </c>
      <c r="W128" s="271">
        <f t="shared" si="4"/>
        <v>350634635</v>
      </c>
      <c r="X128" s="271">
        <f t="shared" si="5"/>
        <v>372483</v>
      </c>
    </row>
    <row r="129" spans="1:24" x14ac:dyDescent="0.2">
      <c r="A129" s="267" t="s">
        <v>136</v>
      </c>
      <c r="B129" s="268">
        <v>55004</v>
      </c>
      <c r="C129" s="269">
        <v>244930291</v>
      </c>
      <c r="D129" s="269">
        <v>49021426</v>
      </c>
      <c r="E129" s="269">
        <v>472196</v>
      </c>
      <c r="F129" s="269">
        <v>1393806</v>
      </c>
      <c r="G129" s="269">
        <v>21889959</v>
      </c>
      <c r="H129" s="269">
        <v>2715808</v>
      </c>
      <c r="I129" s="269">
        <v>0</v>
      </c>
      <c r="J129" s="269">
        <v>20581</v>
      </c>
      <c r="K129" s="270"/>
      <c r="L129" s="270"/>
      <c r="M129" s="269">
        <v>0</v>
      </c>
      <c r="N129" s="269">
        <v>0</v>
      </c>
      <c r="O129" s="269">
        <v>0</v>
      </c>
      <c r="P129" s="269">
        <v>0</v>
      </c>
      <c r="Q129" s="269">
        <v>0</v>
      </c>
      <c r="R129" s="269">
        <v>0</v>
      </c>
      <c r="S129" s="269">
        <v>0</v>
      </c>
      <c r="T129" s="271">
        <f t="shared" si="6"/>
        <v>244930291</v>
      </c>
      <c r="U129" s="271">
        <f t="shared" si="6"/>
        <v>49042007</v>
      </c>
      <c r="V129" s="271">
        <f t="shared" si="7"/>
        <v>24605767</v>
      </c>
      <c r="W129" s="271">
        <f t="shared" si="4"/>
        <v>318578065</v>
      </c>
      <c r="X129" s="271">
        <f t="shared" si="5"/>
        <v>263628</v>
      </c>
    </row>
    <row r="130" spans="1:24" x14ac:dyDescent="0.2">
      <c r="A130" s="267" t="s">
        <v>107</v>
      </c>
      <c r="B130" s="268">
        <v>55005</v>
      </c>
      <c r="C130" s="269">
        <v>487355531</v>
      </c>
      <c r="D130" s="269">
        <v>46907737</v>
      </c>
      <c r="E130" s="269">
        <v>446507</v>
      </c>
      <c r="F130" s="269">
        <v>1609904</v>
      </c>
      <c r="G130" s="269">
        <v>16510346</v>
      </c>
      <c r="H130" s="269">
        <v>995762</v>
      </c>
      <c r="I130" s="269">
        <v>0</v>
      </c>
      <c r="J130" s="269">
        <v>1</v>
      </c>
      <c r="K130" s="270"/>
      <c r="L130" s="270"/>
      <c r="M130" s="269">
        <v>0</v>
      </c>
      <c r="N130" s="269">
        <v>0</v>
      </c>
      <c r="O130" s="269">
        <v>0</v>
      </c>
      <c r="P130" s="269">
        <v>0</v>
      </c>
      <c r="Q130" s="269">
        <v>0</v>
      </c>
      <c r="R130" s="269">
        <v>0</v>
      </c>
      <c r="S130" s="269">
        <v>0</v>
      </c>
      <c r="T130" s="271">
        <f t="shared" si="6"/>
        <v>487355531</v>
      </c>
      <c r="U130" s="271">
        <f t="shared" si="6"/>
        <v>46907738</v>
      </c>
      <c r="V130" s="271">
        <f t="shared" si="7"/>
        <v>17506108</v>
      </c>
      <c r="W130" s="271">
        <f t="shared" si="4"/>
        <v>551769377</v>
      </c>
      <c r="X130" s="271">
        <f t="shared" si="5"/>
        <v>378806</v>
      </c>
    </row>
    <row r="131" spans="1:24" x14ac:dyDescent="0.2">
      <c r="A131" s="267" t="s">
        <v>40</v>
      </c>
      <c r="B131" s="268">
        <v>56002</v>
      </c>
      <c r="C131" s="269">
        <v>537031480</v>
      </c>
      <c r="D131" s="269">
        <v>35636987</v>
      </c>
      <c r="E131" s="269">
        <v>319523</v>
      </c>
      <c r="F131" s="269">
        <v>1194697</v>
      </c>
      <c r="G131" s="269">
        <v>14861528</v>
      </c>
      <c r="H131" s="269">
        <v>8705253</v>
      </c>
      <c r="I131" s="269">
        <v>0</v>
      </c>
      <c r="J131" s="269">
        <v>1</v>
      </c>
      <c r="K131" s="270"/>
      <c r="L131" s="270"/>
      <c r="M131" s="269">
        <v>0</v>
      </c>
      <c r="N131" s="269">
        <v>0</v>
      </c>
      <c r="O131" s="269">
        <v>0</v>
      </c>
      <c r="P131" s="269">
        <v>0</v>
      </c>
      <c r="Q131" s="269">
        <v>0</v>
      </c>
      <c r="R131" s="269">
        <v>0</v>
      </c>
      <c r="S131" s="269">
        <v>0</v>
      </c>
      <c r="T131" s="271">
        <f t="shared" si="6"/>
        <v>537031480</v>
      </c>
      <c r="U131" s="271">
        <f t="shared" si="6"/>
        <v>35636988</v>
      </c>
      <c r="V131" s="271">
        <f t="shared" si="7"/>
        <v>23566781</v>
      </c>
      <c r="W131" s="271">
        <f t="shared" si="4"/>
        <v>596235249</v>
      </c>
      <c r="X131" s="271">
        <f t="shared" si="5"/>
        <v>408350</v>
      </c>
    </row>
    <row r="132" spans="1:24" x14ac:dyDescent="0.2">
      <c r="A132" s="267" t="s">
        <v>105</v>
      </c>
      <c r="B132" s="268">
        <v>56004</v>
      </c>
      <c r="C132" s="269">
        <v>487893116</v>
      </c>
      <c r="D132" s="269">
        <v>122867392</v>
      </c>
      <c r="E132" s="269">
        <v>898170</v>
      </c>
      <c r="F132" s="269">
        <v>3242455</v>
      </c>
      <c r="G132" s="269">
        <v>98683132</v>
      </c>
      <c r="H132" s="269">
        <v>34863432</v>
      </c>
      <c r="I132" s="269">
        <v>1</v>
      </c>
      <c r="J132" s="269">
        <v>0</v>
      </c>
      <c r="K132" s="270"/>
      <c r="L132" s="270"/>
      <c r="M132" s="269">
        <v>1</v>
      </c>
      <c r="N132" s="269">
        <v>0</v>
      </c>
      <c r="O132" s="269">
        <v>0</v>
      </c>
      <c r="P132" s="269">
        <v>0</v>
      </c>
      <c r="Q132" s="269">
        <v>0</v>
      </c>
      <c r="R132" s="269">
        <v>0</v>
      </c>
      <c r="S132" s="269">
        <v>0</v>
      </c>
      <c r="T132" s="271">
        <f t="shared" si="6"/>
        <v>487893117</v>
      </c>
      <c r="U132" s="271">
        <f t="shared" si="6"/>
        <v>122867392</v>
      </c>
      <c r="V132" s="271">
        <f t="shared" si="7"/>
        <v>133546565</v>
      </c>
      <c r="W132" s="271">
        <f t="shared" si="4"/>
        <v>744307074</v>
      </c>
      <c r="X132" s="271">
        <f t="shared" si="5"/>
        <v>777085</v>
      </c>
    </row>
    <row r="133" spans="1:24" x14ac:dyDescent="0.2">
      <c r="A133" s="267" t="s">
        <v>435</v>
      </c>
      <c r="B133" s="268">
        <v>56006</v>
      </c>
      <c r="C133" s="269">
        <v>624080321</v>
      </c>
      <c r="D133" s="269">
        <v>50756530</v>
      </c>
      <c r="E133" s="269">
        <v>766535</v>
      </c>
      <c r="F133" s="269">
        <v>2992881</v>
      </c>
      <c r="G133" s="269">
        <v>33934666</v>
      </c>
      <c r="H133" s="269">
        <v>40159907</v>
      </c>
      <c r="I133" s="269">
        <v>0</v>
      </c>
      <c r="J133" s="269">
        <v>0</v>
      </c>
      <c r="K133" s="270"/>
      <c r="L133" s="270"/>
      <c r="M133" s="269">
        <v>0</v>
      </c>
      <c r="N133" s="269">
        <v>0</v>
      </c>
      <c r="O133" s="269">
        <v>0</v>
      </c>
      <c r="P133" s="269">
        <v>0</v>
      </c>
      <c r="Q133" s="269">
        <v>0</v>
      </c>
      <c r="R133" s="269">
        <v>0</v>
      </c>
      <c r="S133" s="269">
        <v>0</v>
      </c>
      <c r="T133" s="271">
        <f t="shared" si="6"/>
        <v>624080321</v>
      </c>
      <c r="U133" s="271">
        <f t="shared" si="6"/>
        <v>50756530</v>
      </c>
      <c r="V133" s="271">
        <f t="shared" si="7"/>
        <v>74094573</v>
      </c>
      <c r="W133" s="271">
        <f t="shared" si="4"/>
        <v>748931424</v>
      </c>
      <c r="X133" s="271">
        <f t="shared" si="5"/>
        <v>608001</v>
      </c>
    </row>
    <row r="134" spans="1:24" x14ac:dyDescent="0.2">
      <c r="A134" s="267" t="s">
        <v>98</v>
      </c>
      <c r="B134" s="268">
        <v>56007</v>
      </c>
      <c r="C134" s="269">
        <v>804982198</v>
      </c>
      <c r="D134" s="269">
        <v>58565720</v>
      </c>
      <c r="E134" s="269">
        <v>831704</v>
      </c>
      <c r="F134" s="269">
        <v>3592700</v>
      </c>
      <c r="G134" s="269">
        <v>29279017</v>
      </c>
      <c r="H134" s="269">
        <v>29731330</v>
      </c>
      <c r="I134" s="269">
        <v>2</v>
      </c>
      <c r="J134" s="269">
        <v>0</v>
      </c>
      <c r="K134" s="270"/>
      <c r="L134" s="270"/>
      <c r="M134" s="269">
        <v>0</v>
      </c>
      <c r="N134" s="269">
        <v>0</v>
      </c>
      <c r="O134" s="269">
        <v>0</v>
      </c>
      <c r="P134" s="269">
        <v>0</v>
      </c>
      <c r="Q134" s="269">
        <v>0</v>
      </c>
      <c r="R134" s="269">
        <v>0</v>
      </c>
      <c r="S134" s="269">
        <v>0</v>
      </c>
      <c r="T134" s="271">
        <f t="shared" si="6"/>
        <v>804982200</v>
      </c>
      <c r="U134" s="271">
        <f t="shared" si="6"/>
        <v>58565720</v>
      </c>
      <c r="V134" s="271">
        <f t="shared" si="7"/>
        <v>59010347</v>
      </c>
      <c r="W134" s="271">
        <f t="shared" ref="W134:W153" si="8">SUM(T134:V134)</f>
        <v>922558267</v>
      </c>
      <c r="X134" s="271">
        <f t="shared" si="5"/>
        <v>680288</v>
      </c>
    </row>
    <row r="135" spans="1:24" x14ac:dyDescent="0.2">
      <c r="A135" s="267" t="s">
        <v>115</v>
      </c>
      <c r="B135" s="268">
        <v>57001</v>
      </c>
      <c r="C135" s="269">
        <v>352758748</v>
      </c>
      <c r="D135" s="269">
        <v>269157544</v>
      </c>
      <c r="E135" s="269">
        <v>2797981</v>
      </c>
      <c r="F135" s="269">
        <v>12983010</v>
      </c>
      <c r="G135" s="269">
        <v>151591759</v>
      </c>
      <c r="H135" s="269">
        <v>1096855</v>
      </c>
      <c r="I135" s="269">
        <v>0</v>
      </c>
      <c r="J135" s="269">
        <v>0</v>
      </c>
      <c r="K135" s="270"/>
      <c r="L135" s="270"/>
      <c r="M135" s="269">
        <v>1</v>
      </c>
      <c r="N135" s="269">
        <v>0</v>
      </c>
      <c r="O135" s="269">
        <v>0</v>
      </c>
      <c r="P135" s="269">
        <v>0</v>
      </c>
      <c r="Q135" s="269">
        <v>0</v>
      </c>
      <c r="R135" s="269">
        <v>0</v>
      </c>
      <c r="S135" s="269">
        <v>0</v>
      </c>
      <c r="T135" s="271">
        <f t="shared" si="6"/>
        <v>352758748</v>
      </c>
      <c r="U135" s="271">
        <f t="shared" si="6"/>
        <v>269157544</v>
      </c>
      <c r="V135" s="271">
        <f t="shared" si="7"/>
        <v>152688615</v>
      </c>
      <c r="W135" s="271">
        <f t="shared" si="8"/>
        <v>774604907</v>
      </c>
      <c r="X135" s="271">
        <f t="shared" ref="X135:X153" si="9">ROUND(((T135*1.125)/1000+(U135*2.518)/1000+(V135*5.211)/1000)/2,0)</f>
        <v>935126</v>
      </c>
    </row>
    <row r="136" spans="1:24" x14ac:dyDescent="0.2">
      <c r="A136" s="267" t="s">
        <v>436</v>
      </c>
      <c r="B136" s="268">
        <v>58003</v>
      </c>
      <c r="C136" s="269">
        <v>1135006401</v>
      </c>
      <c r="D136" s="269">
        <v>107577313</v>
      </c>
      <c r="E136" s="269">
        <v>7271548</v>
      </c>
      <c r="F136" s="269">
        <v>8900514</v>
      </c>
      <c r="G136" s="269">
        <v>125513640</v>
      </c>
      <c r="H136" s="269">
        <v>1675304</v>
      </c>
      <c r="I136" s="269">
        <v>2</v>
      </c>
      <c r="J136" s="269">
        <v>0</v>
      </c>
      <c r="K136" s="270"/>
      <c r="L136" s="270"/>
      <c r="M136" s="269">
        <v>0</v>
      </c>
      <c r="N136" s="269">
        <v>0</v>
      </c>
      <c r="O136" s="269">
        <v>0</v>
      </c>
      <c r="P136" s="269">
        <v>0</v>
      </c>
      <c r="Q136" s="269">
        <v>0</v>
      </c>
      <c r="R136" s="269">
        <v>0</v>
      </c>
      <c r="S136" s="269">
        <v>0</v>
      </c>
      <c r="T136" s="271">
        <f t="shared" ref="T136:U153" si="10">C136+I136+N136</f>
        <v>1135006403</v>
      </c>
      <c r="U136" s="271">
        <f t="shared" si="10"/>
        <v>107577313</v>
      </c>
      <c r="V136" s="271">
        <f t="shared" ref="V136:V153" si="11">G136+H136+M136+R136+S136</f>
        <v>127188944</v>
      </c>
      <c r="W136" s="271">
        <f t="shared" si="8"/>
        <v>1369772660</v>
      </c>
      <c r="X136" s="271">
        <f t="shared" si="9"/>
        <v>1105272</v>
      </c>
    </row>
    <row r="137" spans="1:24" x14ac:dyDescent="0.2">
      <c r="A137" s="267" t="s">
        <v>135</v>
      </c>
      <c r="B137" s="268">
        <v>59002</v>
      </c>
      <c r="C137" s="269">
        <v>795378039</v>
      </c>
      <c r="D137" s="269">
        <v>162698226</v>
      </c>
      <c r="E137" s="269">
        <v>4167716</v>
      </c>
      <c r="F137" s="269">
        <v>6489407</v>
      </c>
      <c r="G137" s="269">
        <v>116338620</v>
      </c>
      <c r="H137" s="269">
        <v>2440</v>
      </c>
      <c r="I137" s="269">
        <v>3468</v>
      </c>
      <c r="J137" s="269">
        <v>230123</v>
      </c>
      <c r="K137" s="270"/>
      <c r="L137" s="270"/>
      <c r="M137" s="269">
        <v>80773</v>
      </c>
      <c r="N137" s="269">
        <v>0</v>
      </c>
      <c r="O137" s="269">
        <v>0</v>
      </c>
      <c r="P137" s="269">
        <v>0</v>
      </c>
      <c r="Q137" s="269">
        <v>0</v>
      </c>
      <c r="R137" s="269">
        <v>0</v>
      </c>
      <c r="S137" s="269">
        <v>0</v>
      </c>
      <c r="T137" s="271">
        <f t="shared" si="10"/>
        <v>795381507</v>
      </c>
      <c r="U137" s="271">
        <f t="shared" si="10"/>
        <v>162928349</v>
      </c>
      <c r="V137" s="271">
        <f t="shared" si="11"/>
        <v>116421833</v>
      </c>
      <c r="W137" s="271">
        <f t="shared" si="8"/>
        <v>1074731689</v>
      </c>
      <c r="X137" s="271">
        <f t="shared" si="9"/>
        <v>955866</v>
      </c>
    </row>
    <row r="138" spans="1:24" x14ac:dyDescent="0.2">
      <c r="A138" s="267" t="s">
        <v>437</v>
      </c>
      <c r="B138" s="268">
        <v>59003</v>
      </c>
      <c r="C138" s="269">
        <v>197862079</v>
      </c>
      <c r="D138" s="269">
        <v>17415636</v>
      </c>
      <c r="E138" s="269">
        <v>365741</v>
      </c>
      <c r="F138" s="269">
        <v>2208048</v>
      </c>
      <c r="G138" s="269">
        <v>10392291</v>
      </c>
      <c r="H138" s="269">
        <v>541</v>
      </c>
      <c r="I138" s="269">
        <v>0</v>
      </c>
      <c r="J138" s="269">
        <v>3837</v>
      </c>
      <c r="K138" s="270"/>
      <c r="L138" s="270"/>
      <c r="M138" s="269">
        <v>12590</v>
      </c>
      <c r="N138" s="269">
        <v>0</v>
      </c>
      <c r="O138" s="269">
        <v>0</v>
      </c>
      <c r="P138" s="269">
        <v>0</v>
      </c>
      <c r="Q138" s="269">
        <v>0</v>
      </c>
      <c r="R138" s="269">
        <v>0</v>
      </c>
      <c r="S138" s="269">
        <v>0</v>
      </c>
      <c r="T138" s="271">
        <f t="shared" si="10"/>
        <v>197862079</v>
      </c>
      <c r="U138" s="271">
        <f t="shared" si="10"/>
        <v>17419473</v>
      </c>
      <c r="V138" s="271">
        <f t="shared" si="11"/>
        <v>10405422</v>
      </c>
      <c r="W138" s="271">
        <f t="shared" si="8"/>
        <v>225686974</v>
      </c>
      <c r="X138" s="271">
        <f t="shared" si="9"/>
        <v>160340</v>
      </c>
    </row>
    <row r="139" spans="1:24" x14ac:dyDescent="0.2">
      <c r="A139" s="267" t="s">
        <v>30</v>
      </c>
      <c r="B139" s="268">
        <v>60001</v>
      </c>
      <c r="C139" s="269">
        <v>228978367</v>
      </c>
      <c r="D139" s="269">
        <v>116028183</v>
      </c>
      <c r="E139" s="269">
        <v>67260</v>
      </c>
      <c r="F139" s="269">
        <v>1861524</v>
      </c>
      <c r="G139" s="269">
        <v>25828739</v>
      </c>
      <c r="H139" s="269">
        <v>2819962</v>
      </c>
      <c r="I139" s="269">
        <v>1</v>
      </c>
      <c r="J139" s="269">
        <v>5</v>
      </c>
      <c r="K139" s="270"/>
      <c r="L139" s="270"/>
      <c r="M139" s="269">
        <v>6</v>
      </c>
      <c r="N139" s="269">
        <v>0</v>
      </c>
      <c r="O139" s="269">
        <v>0</v>
      </c>
      <c r="P139" s="269">
        <v>0</v>
      </c>
      <c r="Q139" s="269">
        <v>0</v>
      </c>
      <c r="R139" s="269">
        <v>583540</v>
      </c>
      <c r="S139" s="269">
        <v>0</v>
      </c>
      <c r="T139" s="271">
        <f t="shared" si="10"/>
        <v>228978368</v>
      </c>
      <c r="U139" s="271">
        <f t="shared" si="10"/>
        <v>116028188</v>
      </c>
      <c r="V139" s="271">
        <f t="shared" si="11"/>
        <v>29232247</v>
      </c>
      <c r="W139" s="271">
        <f t="shared" si="8"/>
        <v>374238803</v>
      </c>
      <c r="X139" s="271">
        <f t="shared" si="9"/>
        <v>351044</v>
      </c>
    </row>
    <row r="140" spans="1:24" x14ac:dyDescent="0.2">
      <c r="A140" s="267" t="s">
        <v>87</v>
      </c>
      <c r="B140" s="268">
        <v>60003</v>
      </c>
      <c r="C140" s="269">
        <v>155077147</v>
      </c>
      <c r="D140" s="269">
        <v>104071968</v>
      </c>
      <c r="E140" s="269">
        <v>164497</v>
      </c>
      <c r="F140" s="269">
        <v>1470685</v>
      </c>
      <c r="G140" s="269">
        <v>69073575</v>
      </c>
      <c r="H140" s="269">
        <v>3062346</v>
      </c>
      <c r="I140" s="269">
        <v>5</v>
      </c>
      <c r="J140" s="269">
        <v>0</v>
      </c>
      <c r="K140" s="270"/>
      <c r="L140" s="270"/>
      <c r="M140" s="269">
        <v>2</v>
      </c>
      <c r="N140" s="269">
        <v>0</v>
      </c>
      <c r="O140" s="269">
        <v>0</v>
      </c>
      <c r="P140" s="269">
        <v>0</v>
      </c>
      <c r="Q140" s="269">
        <v>0</v>
      </c>
      <c r="R140" s="269">
        <v>0</v>
      </c>
      <c r="S140" s="269">
        <v>0</v>
      </c>
      <c r="T140" s="271">
        <f t="shared" si="10"/>
        <v>155077152</v>
      </c>
      <c r="U140" s="271">
        <f t="shared" si="10"/>
        <v>104071968</v>
      </c>
      <c r="V140" s="271">
        <f t="shared" si="11"/>
        <v>72135923</v>
      </c>
      <c r="W140" s="271">
        <f t="shared" si="8"/>
        <v>331285043</v>
      </c>
      <c r="X140" s="271">
        <f t="shared" si="9"/>
        <v>406208</v>
      </c>
    </row>
    <row r="141" spans="1:24" x14ac:dyDescent="0.2">
      <c r="A141" s="267" t="s">
        <v>100</v>
      </c>
      <c r="B141" s="268">
        <v>60004</v>
      </c>
      <c r="C141" s="269">
        <v>203647429</v>
      </c>
      <c r="D141" s="269">
        <v>233566209</v>
      </c>
      <c r="E141" s="269">
        <v>650760</v>
      </c>
      <c r="F141" s="269">
        <v>1729350</v>
      </c>
      <c r="G141" s="269">
        <v>54496835</v>
      </c>
      <c r="H141" s="269">
        <v>2843356</v>
      </c>
      <c r="I141" s="269">
        <v>0</v>
      </c>
      <c r="J141" s="269">
        <v>0</v>
      </c>
      <c r="K141" s="270"/>
      <c r="L141" s="270"/>
      <c r="M141" s="269">
        <v>2</v>
      </c>
      <c r="N141" s="269">
        <v>0</v>
      </c>
      <c r="O141" s="269">
        <v>0</v>
      </c>
      <c r="P141" s="269">
        <v>0</v>
      </c>
      <c r="Q141" s="269">
        <v>0</v>
      </c>
      <c r="R141" s="269">
        <v>0</v>
      </c>
      <c r="S141" s="269">
        <v>0</v>
      </c>
      <c r="T141" s="271">
        <f t="shared" si="10"/>
        <v>203647429</v>
      </c>
      <c r="U141" s="271">
        <f t="shared" si="10"/>
        <v>233566209</v>
      </c>
      <c r="V141" s="271">
        <f t="shared" si="11"/>
        <v>57340193</v>
      </c>
      <c r="W141" s="271">
        <f t="shared" si="8"/>
        <v>494553831</v>
      </c>
      <c r="X141" s="271">
        <f t="shared" si="9"/>
        <v>558011</v>
      </c>
    </row>
    <row r="142" spans="1:24" x14ac:dyDescent="0.2">
      <c r="A142" s="267" t="s">
        <v>438</v>
      </c>
      <c r="B142" s="268">
        <v>60006</v>
      </c>
      <c r="C142" s="269">
        <v>310776684</v>
      </c>
      <c r="D142" s="269">
        <v>158520926</v>
      </c>
      <c r="E142" s="269">
        <v>1043095</v>
      </c>
      <c r="F142" s="269">
        <v>2743560</v>
      </c>
      <c r="G142" s="269">
        <v>56745703</v>
      </c>
      <c r="H142" s="269">
        <v>362747</v>
      </c>
      <c r="I142" s="269">
        <v>1</v>
      </c>
      <c r="J142" s="269">
        <v>0</v>
      </c>
      <c r="K142" s="270"/>
      <c r="L142" s="270"/>
      <c r="M142" s="269">
        <v>1</v>
      </c>
      <c r="N142" s="269">
        <v>0</v>
      </c>
      <c r="O142" s="269">
        <v>0</v>
      </c>
      <c r="P142" s="269">
        <v>0</v>
      </c>
      <c r="Q142" s="269">
        <v>0</v>
      </c>
      <c r="R142" s="269">
        <v>0</v>
      </c>
      <c r="S142" s="269">
        <v>0</v>
      </c>
      <c r="T142" s="271">
        <f t="shared" si="10"/>
        <v>310776685</v>
      </c>
      <c r="U142" s="271">
        <f t="shared" si="10"/>
        <v>158520926</v>
      </c>
      <c r="V142" s="271">
        <f t="shared" si="11"/>
        <v>57108451</v>
      </c>
      <c r="W142" s="271">
        <f t="shared" si="8"/>
        <v>526406062</v>
      </c>
      <c r="X142" s="271">
        <f t="shared" si="9"/>
        <v>523186</v>
      </c>
    </row>
    <row r="143" spans="1:24" x14ac:dyDescent="0.2">
      <c r="A143" s="267" t="s">
        <v>378</v>
      </c>
      <c r="B143" s="268">
        <v>61001</v>
      </c>
      <c r="C143" s="269">
        <v>294721284</v>
      </c>
      <c r="D143" s="269">
        <v>153371084</v>
      </c>
      <c r="E143" s="269">
        <v>206213</v>
      </c>
      <c r="F143" s="269">
        <v>1105943</v>
      </c>
      <c r="G143" s="269">
        <v>66756384</v>
      </c>
      <c r="H143" s="269">
        <v>6159060</v>
      </c>
      <c r="I143" s="269">
        <v>0</v>
      </c>
      <c r="J143" s="269">
        <v>0</v>
      </c>
      <c r="K143" s="270"/>
      <c r="L143" s="270"/>
      <c r="M143" s="269">
        <v>1</v>
      </c>
      <c r="N143" s="269">
        <v>0</v>
      </c>
      <c r="O143" s="269">
        <v>0</v>
      </c>
      <c r="P143" s="269">
        <v>0</v>
      </c>
      <c r="Q143" s="269">
        <v>0</v>
      </c>
      <c r="R143" s="269">
        <v>0</v>
      </c>
      <c r="S143" s="269">
        <v>0</v>
      </c>
      <c r="T143" s="271">
        <f t="shared" si="10"/>
        <v>294721284</v>
      </c>
      <c r="U143" s="271">
        <f t="shared" si="10"/>
        <v>153371084</v>
      </c>
      <c r="V143" s="271">
        <f t="shared" si="11"/>
        <v>72915445</v>
      </c>
      <c r="W143" s="271">
        <f t="shared" si="8"/>
        <v>521007813</v>
      </c>
      <c r="X143" s="271">
        <f t="shared" si="9"/>
        <v>548856</v>
      </c>
    </row>
    <row r="144" spans="1:24" x14ac:dyDescent="0.2">
      <c r="A144" s="267" t="s">
        <v>18</v>
      </c>
      <c r="B144" s="268">
        <v>61002</v>
      </c>
      <c r="C144" s="269">
        <v>362008410</v>
      </c>
      <c r="D144" s="269">
        <v>292127689</v>
      </c>
      <c r="E144" s="269">
        <v>433109</v>
      </c>
      <c r="F144" s="269">
        <v>954942</v>
      </c>
      <c r="G144" s="269">
        <v>125546517</v>
      </c>
      <c r="H144" s="269">
        <v>6315675</v>
      </c>
      <c r="I144" s="269">
        <v>1</v>
      </c>
      <c r="J144" s="269">
        <v>0</v>
      </c>
      <c r="K144" s="270"/>
      <c r="L144" s="270"/>
      <c r="M144" s="269">
        <v>2</v>
      </c>
      <c r="N144" s="269">
        <v>0</v>
      </c>
      <c r="O144" s="269">
        <v>0</v>
      </c>
      <c r="P144" s="269">
        <v>0</v>
      </c>
      <c r="Q144" s="269">
        <v>0</v>
      </c>
      <c r="R144" s="269">
        <v>0</v>
      </c>
      <c r="S144" s="269">
        <v>0</v>
      </c>
      <c r="T144" s="271">
        <f t="shared" si="10"/>
        <v>362008411</v>
      </c>
      <c r="U144" s="271">
        <f t="shared" si="10"/>
        <v>292127689</v>
      </c>
      <c r="V144" s="271">
        <f t="shared" si="11"/>
        <v>131862194</v>
      </c>
      <c r="W144" s="271">
        <f t="shared" si="8"/>
        <v>785998294</v>
      </c>
      <c r="X144" s="271">
        <f t="shared" si="9"/>
        <v>914985</v>
      </c>
    </row>
    <row r="145" spans="1:24" x14ac:dyDescent="0.2">
      <c r="A145" s="267" t="s">
        <v>47</v>
      </c>
      <c r="B145" s="268">
        <v>61007</v>
      </c>
      <c r="C145" s="269">
        <v>344949676</v>
      </c>
      <c r="D145" s="269">
        <v>318252933</v>
      </c>
      <c r="E145" s="269">
        <v>396161</v>
      </c>
      <c r="F145" s="269">
        <v>413180</v>
      </c>
      <c r="G145" s="269">
        <v>78935657</v>
      </c>
      <c r="H145" s="269">
        <v>6445239</v>
      </c>
      <c r="I145" s="269">
        <v>0</v>
      </c>
      <c r="J145" s="269">
        <v>0</v>
      </c>
      <c r="K145" s="270"/>
      <c r="L145" s="270"/>
      <c r="M145" s="269">
        <v>2</v>
      </c>
      <c r="N145" s="269">
        <v>0</v>
      </c>
      <c r="O145" s="269">
        <v>0</v>
      </c>
      <c r="P145" s="269">
        <v>0</v>
      </c>
      <c r="Q145" s="269">
        <v>0</v>
      </c>
      <c r="R145" s="269">
        <v>0</v>
      </c>
      <c r="S145" s="269">
        <v>0</v>
      </c>
      <c r="T145" s="271">
        <f t="shared" si="10"/>
        <v>344949676</v>
      </c>
      <c r="U145" s="271">
        <f t="shared" si="10"/>
        <v>318252933</v>
      </c>
      <c r="V145" s="271">
        <f t="shared" si="11"/>
        <v>85380898</v>
      </c>
      <c r="W145" s="271">
        <f t="shared" si="8"/>
        <v>748583507</v>
      </c>
      <c r="X145" s="271">
        <f t="shared" si="9"/>
        <v>817175</v>
      </c>
    </row>
    <row r="146" spans="1:24" x14ac:dyDescent="0.2">
      <c r="A146" s="267" t="s">
        <v>35</v>
      </c>
      <c r="B146" s="268">
        <v>61008</v>
      </c>
      <c r="C146" s="269">
        <v>22398133</v>
      </c>
      <c r="D146" s="269">
        <v>964125990</v>
      </c>
      <c r="E146" s="269">
        <v>2079527</v>
      </c>
      <c r="F146" s="269">
        <v>3257360</v>
      </c>
      <c r="G146" s="269">
        <v>398766792</v>
      </c>
      <c r="H146" s="269">
        <v>10302408</v>
      </c>
      <c r="I146" s="269">
        <v>0</v>
      </c>
      <c r="J146" s="269">
        <v>0</v>
      </c>
      <c r="K146" s="270"/>
      <c r="L146" s="270"/>
      <c r="M146" s="269">
        <v>2</v>
      </c>
      <c r="N146" s="269">
        <v>0</v>
      </c>
      <c r="O146" s="269">
        <v>0</v>
      </c>
      <c r="P146" s="269">
        <v>0</v>
      </c>
      <c r="Q146" s="269">
        <v>0</v>
      </c>
      <c r="R146" s="269">
        <v>0</v>
      </c>
      <c r="S146" s="269">
        <v>0</v>
      </c>
      <c r="T146" s="271">
        <f t="shared" si="10"/>
        <v>22398133</v>
      </c>
      <c r="U146" s="271">
        <f t="shared" si="10"/>
        <v>964125990</v>
      </c>
      <c r="V146" s="271">
        <f t="shared" si="11"/>
        <v>409069202</v>
      </c>
      <c r="W146" s="271">
        <f t="shared" si="8"/>
        <v>1395593325</v>
      </c>
      <c r="X146" s="271">
        <f t="shared" si="9"/>
        <v>2292263</v>
      </c>
    </row>
    <row r="147" spans="1:24" x14ac:dyDescent="0.2">
      <c r="A147" s="267" t="s">
        <v>109</v>
      </c>
      <c r="B147" s="268">
        <v>62005</v>
      </c>
      <c r="C147" s="269">
        <v>572852289</v>
      </c>
      <c r="D147" s="269">
        <v>58092599</v>
      </c>
      <c r="E147" s="269">
        <v>5516826</v>
      </c>
      <c r="F147" s="269">
        <v>6447011</v>
      </c>
      <c r="G147" s="269">
        <v>52270218</v>
      </c>
      <c r="H147" s="269">
        <v>17884634</v>
      </c>
      <c r="I147" s="269">
        <v>0</v>
      </c>
      <c r="J147" s="269">
        <v>0</v>
      </c>
      <c r="K147" s="270"/>
      <c r="L147" s="270"/>
      <c r="M147" s="269">
        <v>0</v>
      </c>
      <c r="N147" s="269">
        <v>0</v>
      </c>
      <c r="O147" s="269">
        <v>0</v>
      </c>
      <c r="P147" s="269">
        <v>0</v>
      </c>
      <c r="Q147" s="269">
        <v>0</v>
      </c>
      <c r="R147" s="269">
        <v>0</v>
      </c>
      <c r="S147" s="269">
        <v>0</v>
      </c>
      <c r="T147" s="271">
        <f t="shared" si="10"/>
        <v>572852289</v>
      </c>
      <c r="U147" s="271">
        <f t="shared" si="10"/>
        <v>58092599</v>
      </c>
      <c r="V147" s="271">
        <f t="shared" si="11"/>
        <v>70154852</v>
      </c>
      <c r="W147" s="271">
        <f t="shared" si="8"/>
        <v>701099740</v>
      </c>
      <c r="X147" s="271">
        <f t="shared" si="9"/>
        <v>578156</v>
      </c>
    </row>
    <row r="148" spans="1:24" x14ac:dyDescent="0.2">
      <c r="A148" s="267" t="s">
        <v>439</v>
      </c>
      <c r="B148" s="268">
        <v>62006</v>
      </c>
      <c r="C148" s="269">
        <v>166403345</v>
      </c>
      <c r="D148" s="269">
        <v>150687067</v>
      </c>
      <c r="E148" s="269">
        <v>2400636</v>
      </c>
      <c r="F148" s="269">
        <v>3498047</v>
      </c>
      <c r="G148" s="269">
        <v>103382244</v>
      </c>
      <c r="H148" s="269">
        <v>8153137</v>
      </c>
      <c r="I148" s="269">
        <v>0</v>
      </c>
      <c r="J148" s="269">
        <v>0</v>
      </c>
      <c r="K148" s="270"/>
      <c r="L148" s="270"/>
      <c r="M148" s="269">
        <v>0</v>
      </c>
      <c r="N148" s="269">
        <v>0</v>
      </c>
      <c r="O148" s="269">
        <v>0</v>
      </c>
      <c r="P148" s="269">
        <v>0</v>
      </c>
      <c r="Q148" s="269">
        <v>0</v>
      </c>
      <c r="R148" s="269">
        <v>0</v>
      </c>
      <c r="S148" s="269">
        <v>0</v>
      </c>
      <c r="T148" s="271">
        <f t="shared" si="10"/>
        <v>166403345</v>
      </c>
      <c r="U148" s="271">
        <f t="shared" si="10"/>
        <v>150687067</v>
      </c>
      <c r="V148" s="271">
        <f t="shared" si="11"/>
        <v>111535381</v>
      </c>
      <c r="W148" s="271">
        <f t="shared" si="8"/>
        <v>428625793</v>
      </c>
      <c r="X148" s="271">
        <f t="shared" si="9"/>
        <v>573922</v>
      </c>
    </row>
    <row r="149" spans="1:24" x14ac:dyDescent="0.2">
      <c r="A149" s="267" t="s">
        <v>58</v>
      </c>
      <c r="B149" s="268">
        <v>63001</v>
      </c>
      <c r="C149" s="269">
        <v>110858355</v>
      </c>
      <c r="D149" s="269">
        <v>48856207</v>
      </c>
      <c r="E149" s="269">
        <v>214304</v>
      </c>
      <c r="F149" s="269">
        <v>1825537</v>
      </c>
      <c r="G149" s="269">
        <v>10675742</v>
      </c>
      <c r="H149" s="269">
        <v>1856566</v>
      </c>
      <c r="I149" s="269">
        <v>0</v>
      </c>
      <c r="J149" s="269">
        <v>0</v>
      </c>
      <c r="K149" s="270"/>
      <c r="L149" s="270"/>
      <c r="M149" s="269">
        <v>1</v>
      </c>
      <c r="N149" s="269">
        <v>0</v>
      </c>
      <c r="O149" s="269">
        <v>0</v>
      </c>
      <c r="P149" s="269">
        <v>0</v>
      </c>
      <c r="Q149" s="269">
        <v>0</v>
      </c>
      <c r="R149" s="269">
        <v>0</v>
      </c>
      <c r="S149" s="269">
        <v>0</v>
      </c>
      <c r="T149" s="271">
        <f t="shared" si="10"/>
        <v>110858355</v>
      </c>
      <c r="U149" s="271">
        <f t="shared" si="10"/>
        <v>48856207</v>
      </c>
      <c r="V149" s="271">
        <f t="shared" si="11"/>
        <v>12532309</v>
      </c>
      <c r="W149" s="271">
        <f t="shared" si="8"/>
        <v>172246871</v>
      </c>
      <c r="X149" s="271">
        <f t="shared" si="9"/>
        <v>156521</v>
      </c>
    </row>
    <row r="150" spans="1:24" x14ac:dyDescent="0.2">
      <c r="A150" s="267" t="s">
        <v>137</v>
      </c>
      <c r="B150" s="268">
        <v>63003</v>
      </c>
      <c r="C150" s="269">
        <v>234881151</v>
      </c>
      <c r="D150" s="269">
        <v>1397231432</v>
      </c>
      <c r="E150" s="269">
        <v>6752380</v>
      </c>
      <c r="F150" s="269">
        <v>10868392</v>
      </c>
      <c r="G150" s="269">
        <v>606225228</v>
      </c>
      <c r="H150" s="269">
        <v>59221823</v>
      </c>
      <c r="I150" s="269">
        <v>0</v>
      </c>
      <c r="J150" s="269">
        <v>0</v>
      </c>
      <c r="K150" s="270"/>
      <c r="L150" s="270"/>
      <c r="M150" s="269">
        <v>8</v>
      </c>
      <c r="N150" s="269">
        <v>0</v>
      </c>
      <c r="O150" s="269">
        <v>0</v>
      </c>
      <c r="P150" s="269">
        <v>0</v>
      </c>
      <c r="Q150" s="269">
        <v>0</v>
      </c>
      <c r="R150" s="269">
        <v>0</v>
      </c>
      <c r="S150" s="269">
        <v>0</v>
      </c>
      <c r="T150" s="271">
        <f t="shared" si="10"/>
        <v>234881151</v>
      </c>
      <c r="U150" s="271">
        <f t="shared" si="10"/>
        <v>1397231432</v>
      </c>
      <c r="V150" s="271">
        <f t="shared" si="11"/>
        <v>665447059</v>
      </c>
      <c r="W150" s="271">
        <f t="shared" si="8"/>
        <v>2297559642</v>
      </c>
      <c r="X150" s="271">
        <f t="shared" si="9"/>
        <v>3625057</v>
      </c>
    </row>
    <row r="151" spans="1:24" x14ac:dyDescent="0.2">
      <c r="A151" s="267" t="s">
        <v>42</v>
      </c>
      <c r="B151" s="268">
        <v>64002</v>
      </c>
      <c r="C151" s="269">
        <v>240556505</v>
      </c>
      <c r="D151" s="269">
        <v>11637559</v>
      </c>
      <c r="E151" s="269">
        <v>990466</v>
      </c>
      <c r="F151" s="269">
        <v>3516528</v>
      </c>
      <c r="G151" s="269">
        <v>8336851</v>
      </c>
      <c r="H151" s="269">
        <v>589</v>
      </c>
      <c r="I151" s="269">
        <v>0</v>
      </c>
      <c r="J151" s="269">
        <v>0</v>
      </c>
      <c r="K151" s="270"/>
      <c r="L151" s="270"/>
      <c r="M151" s="269">
        <v>0</v>
      </c>
      <c r="N151" s="269">
        <v>0</v>
      </c>
      <c r="O151" s="269">
        <v>0</v>
      </c>
      <c r="P151" s="269">
        <v>0</v>
      </c>
      <c r="Q151" s="269">
        <v>0</v>
      </c>
      <c r="R151" s="269">
        <v>0</v>
      </c>
      <c r="S151" s="269">
        <v>0</v>
      </c>
      <c r="T151" s="271">
        <f t="shared" si="10"/>
        <v>240556505</v>
      </c>
      <c r="U151" s="271">
        <f t="shared" si="10"/>
        <v>11637559</v>
      </c>
      <c r="V151" s="271">
        <f t="shared" si="11"/>
        <v>8337440</v>
      </c>
      <c r="W151" s="271">
        <f t="shared" si="8"/>
        <v>260531504</v>
      </c>
      <c r="X151" s="271">
        <f t="shared" si="9"/>
        <v>171688</v>
      </c>
    </row>
    <row r="152" spans="1:24" x14ac:dyDescent="0.2">
      <c r="A152" s="267" t="s">
        <v>379</v>
      </c>
      <c r="B152" s="268">
        <v>65001</v>
      </c>
      <c r="C152" s="269">
        <v>51685160</v>
      </c>
      <c r="D152" s="269">
        <v>6180490</v>
      </c>
      <c r="E152" s="269">
        <v>679950</v>
      </c>
      <c r="F152" s="269">
        <v>348470</v>
      </c>
      <c r="G152" s="269">
        <v>14885560</v>
      </c>
      <c r="H152" s="269">
        <v>360865</v>
      </c>
      <c r="I152" s="269">
        <v>0</v>
      </c>
      <c r="J152" s="269">
        <v>0</v>
      </c>
      <c r="K152" s="270"/>
      <c r="L152" s="270"/>
      <c r="M152" s="269">
        <v>0</v>
      </c>
      <c r="N152" s="269">
        <v>0</v>
      </c>
      <c r="O152" s="269">
        <v>0</v>
      </c>
      <c r="P152" s="269">
        <v>0</v>
      </c>
      <c r="Q152" s="269">
        <v>0</v>
      </c>
      <c r="R152" s="269">
        <v>0</v>
      </c>
      <c r="S152" s="269">
        <v>0</v>
      </c>
      <c r="T152" s="271">
        <f t="shared" si="10"/>
        <v>51685160</v>
      </c>
      <c r="U152" s="271">
        <f t="shared" si="10"/>
        <v>6180490</v>
      </c>
      <c r="V152" s="271">
        <f t="shared" si="11"/>
        <v>15246425</v>
      </c>
      <c r="W152" s="271">
        <f t="shared" si="8"/>
        <v>73112075</v>
      </c>
      <c r="X152" s="271">
        <f t="shared" si="9"/>
        <v>76579</v>
      </c>
    </row>
    <row r="153" spans="1:24" x14ac:dyDescent="0.2">
      <c r="A153" s="267" t="s">
        <v>119</v>
      </c>
      <c r="B153" s="268">
        <v>66001</v>
      </c>
      <c r="C153" s="269">
        <v>206743790</v>
      </c>
      <c r="D153" s="269">
        <v>17512607</v>
      </c>
      <c r="E153" s="269">
        <v>1508661</v>
      </c>
      <c r="F153" s="269">
        <v>2700710</v>
      </c>
      <c r="G153" s="269">
        <v>20874028</v>
      </c>
      <c r="H153" s="269">
        <v>154809</v>
      </c>
      <c r="I153" s="269">
        <v>0</v>
      </c>
      <c r="J153" s="269">
        <v>0</v>
      </c>
      <c r="K153" s="270"/>
      <c r="L153" s="270"/>
      <c r="M153" s="269">
        <v>0</v>
      </c>
      <c r="N153" s="269">
        <v>0</v>
      </c>
      <c r="O153" s="269">
        <v>0</v>
      </c>
      <c r="P153" s="269">
        <v>0</v>
      </c>
      <c r="Q153" s="269">
        <v>0</v>
      </c>
      <c r="R153" s="269">
        <v>0</v>
      </c>
      <c r="S153" s="269">
        <v>0</v>
      </c>
      <c r="T153" s="271">
        <f t="shared" si="10"/>
        <v>206743790</v>
      </c>
      <c r="U153" s="271">
        <f t="shared" si="10"/>
        <v>17512607</v>
      </c>
      <c r="V153" s="271">
        <f t="shared" si="11"/>
        <v>21028837</v>
      </c>
      <c r="W153" s="271">
        <f t="shared" si="8"/>
        <v>245285234</v>
      </c>
      <c r="X153" s="271">
        <f t="shared" si="9"/>
        <v>193132</v>
      </c>
    </row>
    <row r="155" spans="1:24" x14ac:dyDescent="0.2">
      <c r="C155" s="272">
        <f t="shared" ref="C155:S155" si="12">SUM(C7:C153)</f>
        <v>48631721210</v>
      </c>
      <c r="D155" s="272">
        <f t="shared" si="12"/>
        <v>63628172197</v>
      </c>
      <c r="E155" s="272">
        <f t="shared" si="12"/>
        <v>402097516</v>
      </c>
      <c r="F155" s="272">
        <f t="shared" si="12"/>
        <v>871607970</v>
      </c>
      <c r="G155" s="272">
        <f t="shared" si="12"/>
        <v>36658662728</v>
      </c>
      <c r="H155" s="272">
        <f t="shared" si="12"/>
        <v>2697574829</v>
      </c>
      <c r="I155" s="272">
        <f t="shared" si="12"/>
        <v>5267264</v>
      </c>
      <c r="J155" s="272">
        <f t="shared" si="12"/>
        <v>1297581</v>
      </c>
      <c r="K155" s="272">
        <f t="shared" si="12"/>
        <v>0</v>
      </c>
      <c r="L155" s="272">
        <f t="shared" si="12"/>
        <v>0</v>
      </c>
      <c r="M155" s="272">
        <f t="shared" si="12"/>
        <v>167023717</v>
      </c>
      <c r="N155" s="272">
        <f t="shared" si="12"/>
        <v>213</v>
      </c>
      <c r="O155" s="272">
        <f t="shared" si="12"/>
        <v>210922865</v>
      </c>
      <c r="P155" s="272">
        <f t="shared" si="12"/>
        <v>47741</v>
      </c>
      <c r="Q155" s="272">
        <f t="shared" si="12"/>
        <v>0</v>
      </c>
      <c r="R155" s="272">
        <f t="shared" si="12"/>
        <v>88619833</v>
      </c>
      <c r="S155" s="272">
        <f t="shared" si="12"/>
        <v>0</v>
      </c>
      <c r="T155" s="272">
        <f t="shared" ref="T155:X155" si="13">SUM(T7:T153)</f>
        <v>48636988687</v>
      </c>
      <c r="U155" s="272">
        <f t="shared" si="13"/>
        <v>63840392643</v>
      </c>
      <c r="V155" s="272">
        <f t="shared" si="13"/>
        <v>39611881107</v>
      </c>
      <c r="W155" s="272">
        <f t="shared" si="13"/>
        <v>152089262437</v>
      </c>
      <c r="X155" s="272">
        <f t="shared" si="13"/>
        <v>210942114</v>
      </c>
    </row>
    <row r="156" spans="1:24" x14ac:dyDescent="0.2">
      <c r="A156" s="231"/>
    </row>
    <row r="157" spans="1:24" x14ac:dyDescent="0.2">
      <c r="A157" s="273"/>
      <c r="U157" s="231">
        <f>SUM(T155:V155)</f>
        <v>152089262437</v>
      </c>
    </row>
    <row r="158" spans="1:24" x14ac:dyDescent="0.2">
      <c r="A158" s="231"/>
      <c r="U158" s="231">
        <f>C155+D155+G155+H155+I155+J155+M155+N155+O155+R155+S155</f>
        <v>152089262437</v>
      </c>
    </row>
  </sheetData>
  <sheetProtection algorithmName="SHA-512" hashValue="rhLKzeBaB59scsz+FqeoBz8IljlsZ+OZC2ATGKgeAsOCKVacPBa+Wsm8S41k8EukWbyRX1nX/H5umkwtuTTCpw==" saltValue="iNrfGjx04zvjif/OYCNve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22F9-D6B0-4F6F-A7F5-8785DC09CAEE}">
  <sheetPr>
    <pageSetUpPr fitToPage="1"/>
  </sheetPr>
  <dimension ref="A1:U153"/>
  <sheetViews>
    <sheetView showGridLines="0" zoomScaleNormal="100" workbookViewId="0">
      <pane ySplit="5" topLeftCell="A6" activePane="bottomLeft" state="frozen"/>
      <selection pane="bottomLeft" activeCell="O6" sqref="O6"/>
    </sheetView>
  </sheetViews>
  <sheetFormatPr defaultColWidth="9.140625" defaultRowHeight="12.75" x14ac:dyDescent="0.2"/>
  <cols>
    <col min="1" max="1" width="24.85546875" style="79" customWidth="1"/>
    <col min="2" max="2" width="6.5703125" style="79" bestFit="1" customWidth="1"/>
    <col min="3" max="3" width="11.28515625" style="80" bestFit="1" customWidth="1"/>
    <col min="4" max="4" width="13.5703125" style="81" customWidth="1"/>
    <col min="5" max="5" width="7.7109375" style="81" bestFit="1" customWidth="1"/>
    <col min="6" max="6" width="8.42578125" style="80" bestFit="1" customWidth="1"/>
    <col min="7" max="7" width="7.42578125" style="80" bestFit="1" customWidth="1"/>
    <col min="8" max="8" width="6.7109375" style="80" bestFit="1" customWidth="1"/>
    <col min="9" max="9" width="7.42578125" style="80" bestFit="1" customWidth="1"/>
    <col min="10" max="10" width="12.28515625" style="82" bestFit="1" customWidth="1"/>
    <col min="11" max="11" width="12.28515625" style="80" bestFit="1" customWidth="1"/>
    <col min="12" max="12" width="10.85546875" style="80" bestFit="1" customWidth="1"/>
    <col min="13" max="13" width="14.28515625" style="80" bestFit="1" customWidth="1"/>
    <col min="14" max="14" width="9" style="80" bestFit="1" customWidth="1"/>
    <col min="15" max="15" width="11.140625" style="80" bestFit="1" customWidth="1"/>
    <col min="16" max="16" width="15.140625" style="80" customWidth="1"/>
    <col min="17" max="17" width="13.42578125" style="80" bestFit="1" customWidth="1"/>
    <col min="18" max="18" width="9.5703125" style="82" bestFit="1" customWidth="1"/>
    <col min="19" max="19" width="13.42578125" style="82" bestFit="1" customWidth="1"/>
    <col min="20" max="20" width="12.42578125" style="80" bestFit="1" customWidth="1"/>
    <col min="21" max="21" width="11" style="80" bestFit="1" customWidth="1"/>
    <col min="22" max="16384" width="9.140625" style="80"/>
  </cols>
  <sheetData>
    <row r="1" spans="1:21" ht="18.75" x14ac:dyDescent="0.3">
      <c r="A1" s="78" t="s">
        <v>468</v>
      </c>
    </row>
    <row r="2" spans="1:21" x14ac:dyDescent="0.2">
      <c r="A2" s="83" t="s">
        <v>469</v>
      </c>
      <c r="R2" s="274"/>
    </row>
    <row r="4" spans="1:21" s="88" customFormat="1" x14ac:dyDescent="0.2">
      <c r="A4" s="83" t="s">
        <v>342</v>
      </c>
      <c r="B4" s="84"/>
      <c r="C4" s="86" t="s">
        <v>470</v>
      </c>
      <c r="D4" s="85" t="s">
        <v>395</v>
      </c>
      <c r="E4" s="85"/>
      <c r="F4" s="86" t="s">
        <v>396</v>
      </c>
      <c r="G4" s="84" t="s">
        <v>397</v>
      </c>
      <c r="H4" s="84" t="s">
        <v>398</v>
      </c>
      <c r="I4" s="84" t="s">
        <v>399</v>
      </c>
      <c r="J4" s="275">
        <v>62821.19</v>
      </c>
      <c r="K4" s="84" t="s">
        <v>400</v>
      </c>
      <c r="L4" s="84" t="s">
        <v>401</v>
      </c>
      <c r="M4" s="86" t="s">
        <v>471</v>
      </c>
      <c r="N4" s="86"/>
      <c r="O4" s="275">
        <v>7497.76</v>
      </c>
      <c r="P4" s="84" t="s">
        <v>472</v>
      </c>
      <c r="Q4" s="84" t="s">
        <v>402</v>
      </c>
      <c r="R4" s="87" t="s">
        <v>403</v>
      </c>
      <c r="S4" s="87"/>
    </row>
    <row r="5" spans="1:21" ht="63.75" x14ac:dyDescent="0.2">
      <c r="A5" s="206" t="s">
        <v>344</v>
      </c>
      <c r="B5" s="207" t="s">
        <v>343</v>
      </c>
      <c r="C5" s="206" t="s">
        <v>473</v>
      </c>
      <c r="D5" s="208" t="s">
        <v>474</v>
      </c>
      <c r="E5" s="208" t="s">
        <v>480</v>
      </c>
      <c r="F5" s="206" t="s">
        <v>333</v>
      </c>
      <c r="G5" s="209" t="s">
        <v>345</v>
      </c>
      <c r="H5" s="206" t="s">
        <v>346</v>
      </c>
      <c r="I5" s="206" t="s">
        <v>347</v>
      </c>
      <c r="J5" s="210" t="s">
        <v>348</v>
      </c>
      <c r="K5" s="206" t="s">
        <v>349</v>
      </c>
      <c r="L5" s="206" t="s">
        <v>350</v>
      </c>
      <c r="M5" s="206" t="s">
        <v>475</v>
      </c>
      <c r="N5" s="206" t="s">
        <v>479</v>
      </c>
      <c r="O5" s="206" t="s">
        <v>476</v>
      </c>
      <c r="P5" s="206" t="s">
        <v>420</v>
      </c>
      <c r="Q5" s="206" t="s">
        <v>351</v>
      </c>
      <c r="R5" s="210" t="s">
        <v>352</v>
      </c>
      <c r="S5" s="210" t="s">
        <v>353</v>
      </c>
      <c r="T5" s="89" t="s">
        <v>380</v>
      </c>
      <c r="U5" s="89" t="s">
        <v>477</v>
      </c>
    </row>
    <row r="6" spans="1:21" x14ac:dyDescent="0.2">
      <c r="A6" s="90" t="s">
        <v>249</v>
      </c>
      <c r="B6" s="91">
        <v>1001</v>
      </c>
      <c r="C6" s="92">
        <v>247</v>
      </c>
      <c r="D6" s="93">
        <v>7.5</v>
      </c>
      <c r="E6" s="279">
        <f>D6/0.25</f>
        <v>30</v>
      </c>
      <c r="F6" s="276">
        <f>(((C6-18))*0.0075)+10.5</f>
        <v>12.217499999999999</v>
      </c>
      <c r="G6" s="93">
        <f>C6/F6</f>
        <v>20.216901984857788</v>
      </c>
      <c r="H6" s="93">
        <f t="shared" ref="H6:H69" si="0">D6/F6</f>
        <v>0.61387354205033762</v>
      </c>
      <c r="I6" s="93">
        <f t="shared" ref="I6:I69" si="1">G6+H6</f>
        <v>20.830775526908127</v>
      </c>
      <c r="J6" s="94">
        <f t="shared" ref="J6:J69" si="2">$J$4*1.29</f>
        <v>81039.335100000011</v>
      </c>
      <c r="K6" s="94">
        <f t="shared" ref="K6:K69" si="3">I6*J6</f>
        <v>1688112.1983179869</v>
      </c>
      <c r="L6" s="94">
        <f>K6*0.3878</f>
        <v>654649.91050771531</v>
      </c>
      <c r="M6" s="92">
        <v>0</v>
      </c>
      <c r="N6" s="92">
        <f>M6/0.1</f>
        <v>0</v>
      </c>
      <c r="O6" s="92">
        <f>M6*$O$4</f>
        <v>0</v>
      </c>
      <c r="P6" s="94">
        <v>0</v>
      </c>
      <c r="Q6" s="94">
        <f>K6+L6+O6+P6</f>
        <v>2342762.1088257022</v>
      </c>
      <c r="R6" s="94">
        <v>0</v>
      </c>
      <c r="S6" s="94">
        <f t="shared" ref="S6:S69" si="4">IF(R6=0,Q6,R6)</f>
        <v>2342762.1088257022</v>
      </c>
      <c r="T6" s="94">
        <v>713298</v>
      </c>
      <c r="U6" s="94">
        <v>137704.63</v>
      </c>
    </row>
    <row r="7" spans="1:21" ht="13.5" customHeight="1" x14ac:dyDescent="0.2">
      <c r="A7" s="95" t="s">
        <v>282</v>
      </c>
      <c r="B7" s="96">
        <v>1003</v>
      </c>
      <c r="C7" s="92">
        <v>113</v>
      </c>
      <c r="D7" s="98">
        <v>0.25</v>
      </c>
      <c r="E7" s="279">
        <f t="shared" ref="E7:E70" si="5">D7/0.25</f>
        <v>1</v>
      </c>
      <c r="F7" s="98">
        <f>IF(C7&lt;200,12,IF(C7&gt;600,15,(C7*0.0075)+10.5))</f>
        <v>12</v>
      </c>
      <c r="G7" s="93">
        <f t="shared" ref="G7:G70" si="6">C7/F7</f>
        <v>9.4166666666666661</v>
      </c>
      <c r="H7" s="98">
        <f t="shared" si="0"/>
        <v>2.0833333333333332E-2</v>
      </c>
      <c r="I7" s="98">
        <f t="shared" si="1"/>
        <v>9.4375</v>
      </c>
      <c r="J7" s="99">
        <f t="shared" si="2"/>
        <v>81039.335100000011</v>
      </c>
      <c r="K7" s="99">
        <f t="shared" si="3"/>
        <v>764808.72500625008</v>
      </c>
      <c r="L7" s="99">
        <f t="shared" ref="L7:L70" si="7">K7*0.3878</f>
        <v>296592.82355742378</v>
      </c>
      <c r="M7" s="92">
        <v>0.1</v>
      </c>
      <c r="N7" s="92">
        <f t="shared" ref="N7:N70" si="8">M7/0.1</f>
        <v>1</v>
      </c>
      <c r="O7" s="92">
        <f t="shared" ref="O7:O70" si="9">M7*$O$4</f>
        <v>749.77600000000007</v>
      </c>
      <c r="P7" s="99">
        <v>0</v>
      </c>
      <c r="Q7" s="94">
        <f t="shared" ref="Q7:Q70" si="10">K7+L7+O7+P7</f>
        <v>1062151.3245636739</v>
      </c>
      <c r="R7" s="99">
        <v>0</v>
      </c>
      <c r="S7" s="99">
        <f t="shared" si="4"/>
        <v>1062151.3245636739</v>
      </c>
      <c r="T7" s="94">
        <v>465397</v>
      </c>
      <c r="U7" s="94">
        <v>218962.53599999999</v>
      </c>
    </row>
    <row r="8" spans="1:21" ht="13.5" customHeight="1" x14ac:dyDescent="0.2">
      <c r="A8" s="95" t="s">
        <v>213</v>
      </c>
      <c r="B8" s="96">
        <v>2002</v>
      </c>
      <c r="C8" s="92">
        <v>3048.21</v>
      </c>
      <c r="D8" s="98">
        <v>201</v>
      </c>
      <c r="E8" s="279">
        <f t="shared" si="5"/>
        <v>804</v>
      </c>
      <c r="F8" s="98">
        <f t="shared" ref="F8:F71" si="11">IF(C8&lt;200,12,IF(C8&gt;600,15,(C8*0.0075)+10.5))</f>
        <v>15</v>
      </c>
      <c r="G8" s="93">
        <f t="shared" si="6"/>
        <v>203.214</v>
      </c>
      <c r="H8" s="98">
        <f t="shared" si="0"/>
        <v>13.4</v>
      </c>
      <c r="I8" s="98">
        <f t="shared" si="1"/>
        <v>216.614</v>
      </c>
      <c r="J8" s="99">
        <f t="shared" si="2"/>
        <v>81039.335100000011</v>
      </c>
      <c r="K8" s="99">
        <f t="shared" si="3"/>
        <v>17554254.533351403</v>
      </c>
      <c r="L8" s="99">
        <f t="shared" si="7"/>
        <v>6807539.9080336737</v>
      </c>
      <c r="M8" s="92">
        <v>0.1</v>
      </c>
      <c r="N8" s="92">
        <f t="shared" si="8"/>
        <v>1</v>
      </c>
      <c r="O8" s="92">
        <f t="shared" si="9"/>
        <v>749.77600000000007</v>
      </c>
      <c r="P8" s="99">
        <v>12131</v>
      </c>
      <c r="Q8" s="94">
        <f t="shared" si="10"/>
        <v>24374675.217385076</v>
      </c>
      <c r="R8" s="99">
        <v>0</v>
      </c>
      <c r="S8" s="99">
        <f t="shared" si="4"/>
        <v>24374675.217385076</v>
      </c>
      <c r="T8" s="94">
        <v>4781758</v>
      </c>
      <c r="U8" s="94">
        <v>810138.50999999989</v>
      </c>
    </row>
    <row r="9" spans="1:21" ht="13.5" customHeight="1" x14ac:dyDescent="0.2">
      <c r="A9" s="95" t="s">
        <v>216</v>
      </c>
      <c r="B9" s="96">
        <v>2003</v>
      </c>
      <c r="C9" s="92">
        <v>200.25</v>
      </c>
      <c r="D9" s="98">
        <v>3</v>
      </c>
      <c r="E9" s="279">
        <f t="shared" si="5"/>
        <v>12</v>
      </c>
      <c r="F9" s="98">
        <f t="shared" si="11"/>
        <v>12.001875</v>
      </c>
      <c r="G9" s="93">
        <f t="shared" si="6"/>
        <v>16.68489298547102</v>
      </c>
      <c r="H9" s="98">
        <f t="shared" si="0"/>
        <v>0.2499609436025621</v>
      </c>
      <c r="I9" s="98">
        <f t="shared" si="1"/>
        <v>16.934853929073583</v>
      </c>
      <c r="J9" s="99">
        <f t="shared" si="2"/>
        <v>81039.335100000011</v>
      </c>
      <c r="K9" s="99">
        <f t="shared" si="3"/>
        <v>1372389.3024277459</v>
      </c>
      <c r="L9" s="99">
        <f t="shared" si="7"/>
        <v>532212.5714814798</v>
      </c>
      <c r="M9" s="92">
        <v>0</v>
      </c>
      <c r="N9" s="92">
        <f t="shared" si="8"/>
        <v>0</v>
      </c>
      <c r="O9" s="92">
        <f t="shared" si="9"/>
        <v>0</v>
      </c>
      <c r="P9" s="99">
        <v>0</v>
      </c>
      <c r="Q9" s="94">
        <f t="shared" si="10"/>
        <v>1904601.8739092257</v>
      </c>
      <c r="R9" s="99">
        <v>0</v>
      </c>
      <c r="S9" s="99">
        <f t="shared" si="4"/>
        <v>1904601.8739092257</v>
      </c>
      <c r="T9" s="94">
        <v>1060723</v>
      </c>
      <c r="U9" s="94">
        <v>104680.41999999998</v>
      </c>
    </row>
    <row r="10" spans="1:21" ht="13.5" customHeight="1" x14ac:dyDescent="0.2">
      <c r="A10" s="95" t="s">
        <v>287</v>
      </c>
      <c r="B10" s="96">
        <v>2006</v>
      </c>
      <c r="C10" s="92">
        <v>289</v>
      </c>
      <c r="D10" s="98">
        <v>0</v>
      </c>
      <c r="E10" s="279">
        <f t="shared" si="5"/>
        <v>0</v>
      </c>
      <c r="F10" s="98">
        <f t="shared" si="11"/>
        <v>12.6675</v>
      </c>
      <c r="G10" s="93">
        <f t="shared" si="6"/>
        <v>22.814288533649101</v>
      </c>
      <c r="H10" s="98">
        <f t="shared" si="0"/>
        <v>0</v>
      </c>
      <c r="I10" s="98">
        <f t="shared" si="1"/>
        <v>22.814288533649101</v>
      </c>
      <c r="J10" s="99">
        <f t="shared" si="2"/>
        <v>81039.335100000011</v>
      </c>
      <c r="K10" s="99">
        <f t="shared" si="3"/>
        <v>1848854.7735464773</v>
      </c>
      <c r="L10" s="99">
        <f t="shared" si="7"/>
        <v>716985.8811813239</v>
      </c>
      <c r="M10" s="92">
        <v>0</v>
      </c>
      <c r="N10" s="92">
        <f t="shared" si="8"/>
        <v>0</v>
      </c>
      <c r="O10" s="92">
        <f t="shared" si="9"/>
        <v>0</v>
      </c>
      <c r="P10" s="99">
        <v>0</v>
      </c>
      <c r="Q10" s="94">
        <f t="shared" si="10"/>
        <v>2565840.6547278012</v>
      </c>
      <c r="R10" s="99">
        <v>0</v>
      </c>
      <c r="S10" s="99">
        <f t="shared" si="4"/>
        <v>2565840.6547278012</v>
      </c>
      <c r="T10" s="94">
        <v>917852</v>
      </c>
      <c r="U10" s="94">
        <v>137913.62000000002</v>
      </c>
    </row>
    <row r="11" spans="1:21" ht="13.5" customHeight="1" x14ac:dyDescent="0.2">
      <c r="A11" s="95" t="s">
        <v>150</v>
      </c>
      <c r="B11" s="96">
        <v>3001</v>
      </c>
      <c r="C11" s="92">
        <v>414</v>
      </c>
      <c r="D11" s="98">
        <v>0</v>
      </c>
      <c r="E11" s="279">
        <f t="shared" si="5"/>
        <v>0</v>
      </c>
      <c r="F11" s="98">
        <f t="shared" si="11"/>
        <v>13.605</v>
      </c>
      <c r="G11" s="93">
        <f t="shared" si="6"/>
        <v>30.429988974641674</v>
      </c>
      <c r="H11" s="98">
        <f t="shared" si="0"/>
        <v>0</v>
      </c>
      <c r="I11" s="98">
        <f t="shared" si="1"/>
        <v>30.429988974641674</v>
      </c>
      <c r="J11" s="99">
        <f t="shared" si="2"/>
        <v>81039.335100000011</v>
      </c>
      <c r="K11" s="99">
        <f t="shared" si="3"/>
        <v>2466026.0736052925</v>
      </c>
      <c r="L11" s="99">
        <f t="shared" si="7"/>
        <v>956324.91134413239</v>
      </c>
      <c r="M11" s="92">
        <v>0.70000000000000007</v>
      </c>
      <c r="N11" s="92">
        <f t="shared" si="8"/>
        <v>7</v>
      </c>
      <c r="O11" s="92">
        <f t="shared" si="9"/>
        <v>5248.4320000000007</v>
      </c>
      <c r="P11" s="99">
        <v>0</v>
      </c>
      <c r="Q11" s="94">
        <f t="shared" si="10"/>
        <v>3427599.4169494249</v>
      </c>
      <c r="R11" s="99">
        <v>0</v>
      </c>
      <c r="S11" s="99">
        <f t="shared" si="4"/>
        <v>3427599.4169494249</v>
      </c>
      <c r="T11" s="94">
        <v>528632</v>
      </c>
      <c r="U11" s="94">
        <v>221524.55000000002</v>
      </c>
    </row>
    <row r="12" spans="1:21" ht="13.5" customHeight="1" x14ac:dyDescent="0.2">
      <c r="A12" s="95" t="s">
        <v>147</v>
      </c>
      <c r="B12" s="96">
        <v>4001</v>
      </c>
      <c r="C12" s="92">
        <v>212.13</v>
      </c>
      <c r="D12" s="98">
        <v>0</v>
      </c>
      <c r="E12" s="279">
        <f t="shared" si="5"/>
        <v>0</v>
      </c>
      <c r="F12" s="98">
        <f t="shared" si="11"/>
        <v>12.090975</v>
      </c>
      <c r="G12" s="93">
        <f t="shared" si="6"/>
        <v>17.544490828903374</v>
      </c>
      <c r="H12" s="98">
        <f t="shared" si="0"/>
        <v>0</v>
      </c>
      <c r="I12" s="98">
        <f t="shared" si="1"/>
        <v>17.544490828903374</v>
      </c>
      <c r="J12" s="99">
        <f t="shared" si="2"/>
        <v>81039.335100000011</v>
      </c>
      <c r="K12" s="99">
        <f t="shared" si="3"/>
        <v>1421793.8714423776</v>
      </c>
      <c r="L12" s="99">
        <f t="shared" si="7"/>
        <v>551371.66334535403</v>
      </c>
      <c r="M12" s="92">
        <v>0</v>
      </c>
      <c r="N12" s="92">
        <f t="shared" si="8"/>
        <v>0</v>
      </c>
      <c r="O12" s="92">
        <f t="shared" si="9"/>
        <v>0</v>
      </c>
      <c r="P12" s="99">
        <v>0</v>
      </c>
      <c r="Q12" s="94">
        <f t="shared" si="10"/>
        <v>1973165.5347877317</v>
      </c>
      <c r="R12" s="99">
        <v>0</v>
      </c>
      <c r="S12" s="99">
        <f t="shared" si="4"/>
        <v>1973165.5347877317</v>
      </c>
      <c r="T12" s="94">
        <v>456327</v>
      </c>
      <c r="U12" s="94">
        <v>77277.26999999999</v>
      </c>
    </row>
    <row r="13" spans="1:21" ht="13.5" customHeight="1" x14ac:dyDescent="0.2">
      <c r="A13" s="95" t="s">
        <v>154</v>
      </c>
      <c r="B13" s="96">
        <v>4002</v>
      </c>
      <c r="C13" s="92">
        <v>548.08000000000004</v>
      </c>
      <c r="D13" s="98">
        <v>4.5</v>
      </c>
      <c r="E13" s="279">
        <f t="shared" si="5"/>
        <v>18</v>
      </c>
      <c r="F13" s="98">
        <f t="shared" si="11"/>
        <v>14.6106</v>
      </c>
      <c r="G13" s="93">
        <f t="shared" si="6"/>
        <v>37.512490931241707</v>
      </c>
      <c r="H13" s="98">
        <f t="shared" si="0"/>
        <v>0.30799556486386598</v>
      </c>
      <c r="I13" s="98">
        <f t="shared" si="1"/>
        <v>37.820486496105573</v>
      </c>
      <c r="J13" s="99">
        <f t="shared" si="2"/>
        <v>81039.335100000011</v>
      </c>
      <c r="K13" s="99">
        <f t="shared" si="3"/>
        <v>3064947.0788029246</v>
      </c>
      <c r="L13" s="99">
        <f t="shared" si="7"/>
        <v>1188586.4771597742</v>
      </c>
      <c r="M13" s="92">
        <v>0</v>
      </c>
      <c r="N13" s="92">
        <f t="shared" si="8"/>
        <v>0</v>
      </c>
      <c r="O13" s="92">
        <f t="shared" si="9"/>
        <v>0</v>
      </c>
      <c r="P13" s="99">
        <v>0</v>
      </c>
      <c r="Q13" s="94">
        <f t="shared" si="10"/>
        <v>4253533.5559626985</v>
      </c>
      <c r="R13" s="99">
        <v>0</v>
      </c>
      <c r="S13" s="99">
        <f t="shared" si="4"/>
        <v>4253533.5559626985</v>
      </c>
      <c r="T13" s="94">
        <v>1291072</v>
      </c>
      <c r="U13" s="94">
        <v>223249.08000000002</v>
      </c>
    </row>
    <row r="14" spans="1:21" ht="13.5" customHeight="1" x14ac:dyDescent="0.2">
      <c r="A14" s="95" t="s">
        <v>256</v>
      </c>
      <c r="B14" s="96">
        <v>4003</v>
      </c>
      <c r="C14" s="92">
        <v>244.76</v>
      </c>
      <c r="D14" s="98">
        <v>0.25</v>
      </c>
      <c r="E14" s="279">
        <f t="shared" si="5"/>
        <v>1</v>
      </c>
      <c r="F14" s="98">
        <f t="shared" si="11"/>
        <v>12.335699999999999</v>
      </c>
      <c r="G14" s="93">
        <f t="shared" si="6"/>
        <v>19.841597963634005</v>
      </c>
      <c r="H14" s="98">
        <f t="shared" si="0"/>
        <v>2.026638131601774E-2</v>
      </c>
      <c r="I14" s="98">
        <f t="shared" si="1"/>
        <v>19.861864344950021</v>
      </c>
      <c r="J14" s="99">
        <f t="shared" si="2"/>
        <v>81039.335100000011</v>
      </c>
      <c r="K14" s="99">
        <f t="shared" si="3"/>
        <v>1609592.2803611469</v>
      </c>
      <c r="L14" s="99">
        <f t="shared" si="7"/>
        <v>624199.8863240527</v>
      </c>
      <c r="M14" s="92">
        <v>0</v>
      </c>
      <c r="N14" s="92">
        <f t="shared" si="8"/>
        <v>0</v>
      </c>
      <c r="O14" s="92">
        <f t="shared" si="9"/>
        <v>0</v>
      </c>
      <c r="P14" s="99">
        <v>0</v>
      </c>
      <c r="Q14" s="94">
        <f t="shared" si="10"/>
        <v>2233792.1666851994</v>
      </c>
      <c r="R14" s="99">
        <v>0</v>
      </c>
      <c r="S14" s="99">
        <f t="shared" si="4"/>
        <v>2233792.1666851994</v>
      </c>
      <c r="T14" s="94">
        <v>797101</v>
      </c>
      <c r="U14" s="94">
        <v>121946.42</v>
      </c>
    </row>
    <row r="15" spans="1:21" ht="13.5" customHeight="1" x14ac:dyDescent="0.2">
      <c r="A15" s="95" t="s">
        <v>159</v>
      </c>
      <c r="B15" s="96">
        <v>5001</v>
      </c>
      <c r="C15" s="92">
        <v>3454.61</v>
      </c>
      <c r="D15" s="98">
        <v>37</v>
      </c>
      <c r="E15" s="279">
        <f t="shared" si="5"/>
        <v>148</v>
      </c>
      <c r="F15" s="98">
        <f t="shared" si="11"/>
        <v>15</v>
      </c>
      <c r="G15" s="93">
        <f t="shared" si="6"/>
        <v>230.30733333333333</v>
      </c>
      <c r="H15" s="98">
        <f t="shared" si="0"/>
        <v>2.4666666666666668</v>
      </c>
      <c r="I15" s="98">
        <f t="shared" si="1"/>
        <v>232.774</v>
      </c>
      <c r="J15" s="99">
        <f t="shared" si="2"/>
        <v>81039.335100000011</v>
      </c>
      <c r="K15" s="99">
        <f t="shared" si="3"/>
        <v>18863850.188567404</v>
      </c>
      <c r="L15" s="99">
        <f t="shared" si="7"/>
        <v>7315401.1031264383</v>
      </c>
      <c r="M15" s="92">
        <v>0.8</v>
      </c>
      <c r="N15" s="92">
        <f t="shared" si="8"/>
        <v>8</v>
      </c>
      <c r="O15" s="92">
        <f t="shared" si="9"/>
        <v>5998.2080000000005</v>
      </c>
      <c r="P15" s="99">
        <v>0</v>
      </c>
      <c r="Q15" s="94">
        <f t="shared" si="10"/>
        <v>26185249.499693844</v>
      </c>
      <c r="R15" s="99">
        <v>0</v>
      </c>
      <c r="S15" s="99">
        <f t="shared" si="4"/>
        <v>26185249.499693844</v>
      </c>
      <c r="T15" s="94">
        <v>8901611</v>
      </c>
      <c r="U15" s="94">
        <v>1219796.74</v>
      </c>
    </row>
    <row r="16" spans="1:21" ht="13.5" customHeight="1" x14ac:dyDescent="0.2">
      <c r="A16" s="95" t="s">
        <v>185</v>
      </c>
      <c r="B16" s="96">
        <v>5003</v>
      </c>
      <c r="C16" s="92">
        <v>348.44</v>
      </c>
      <c r="D16" s="98">
        <v>10.25</v>
      </c>
      <c r="E16" s="279">
        <f t="shared" si="5"/>
        <v>41</v>
      </c>
      <c r="F16" s="98">
        <f t="shared" si="11"/>
        <v>13.113299999999999</v>
      </c>
      <c r="G16" s="93">
        <f t="shared" si="6"/>
        <v>26.571496114631714</v>
      </c>
      <c r="H16" s="98">
        <f t="shared" si="0"/>
        <v>0.78164916535120843</v>
      </c>
      <c r="I16" s="98">
        <f t="shared" si="1"/>
        <v>27.353145279982922</v>
      </c>
      <c r="J16" s="99">
        <f t="shared" si="2"/>
        <v>81039.335100000011</v>
      </c>
      <c r="K16" s="99">
        <f t="shared" si="3"/>
        <v>2216680.7063835198</v>
      </c>
      <c r="L16" s="99">
        <f t="shared" si="7"/>
        <v>859628.77793552889</v>
      </c>
      <c r="M16" s="92">
        <v>0.2</v>
      </c>
      <c r="N16" s="92">
        <f t="shared" si="8"/>
        <v>2</v>
      </c>
      <c r="O16" s="92">
        <f t="shared" si="9"/>
        <v>1499.5520000000001</v>
      </c>
      <c r="P16" s="99">
        <v>0</v>
      </c>
      <c r="Q16" s="94">
        <f t="shared" si="10"/>
        <v>3077809.0363190491</v>
      </c>
      <c r="R16" s="99">
        <v>0</v>
      </c>
      <c r="S16" s="99">
        <f t="shared" si="4"/>
        <v>3077809.0363190491</v>
      </c>
      <c r="T16" s="94">
        <v>1430006</v>
      </c>
      <c r="U16" s="94">
        <v>317974.01</v>
      </c>
    </row>
    <row r="17" spans="1:21" ht="13.5" customHeight="1" x14ac:dyDescent="0.2">
      <c r="A17" s="95" t="s">
        <v>259</v>
      </c>
      <c r="B17" s="96">
        <v>5005</v>
      </c>
      <c r="C17" s="92">
        <v>755.59</v>
      </c>
      <c r="D17" s="98">
        <v>3</v>
      </c>
      <c r="E17" s="279">
        <f t="shared" si="5"/>
        <v>12</v>
      </c>
      <c r="F17" s="98">
        <f t="shared" si="11"/>
        <v>15</v>
      </c>
      <c r="G17" s="93">
        <f t="shared" si="6"/>
        <v>50.372666666666667</v>
      </c>
      <c r="H17" s="98">
        <f t="shared" si="0"/>
        <v>0.2</v>
      </c>
      <c r="I17" s="98">
        <f t="shared" si="1"/>
        <v>50.57266666666667</v>
      </c>
      <c r="J17" s="99">
        <f t="shared" si="2"/>
        <v>81039.335100000011</v>
      </c>
      <c r="K17" s="99">
        <f t="shared" si="3"/>
        <v>4098375.2809006008</v>
      </c>
      <c r="L17" s="99">
        <f t="shared" si="7"/>
        <v>1589349.9339332529</v>
      </c>
      <c r="M17" s="92">
        <v>0</v>
      </c>
      <c r="N17" s="92">
        <f t="shared" si="8"/>
        <v>0</v>
      </c>
      <c r="O17" s="92">
        <f t="shared" si="9"/>
        <v>0</v>
      </c>
      <c r="P17" s="99">
        <v>0</v>
      </c>
      <c r="Q17" s="94">
        <f t="shared" si="10"/>
        <v>5687725.2148338538</v>
      </c>
      <c r="R17" s="99">
        <v>0</v>
      </c>
      <c r="S17" s="99">
        <f t="shared" si="4"/>
        <v>5687725.2148338538</v>
      </c>
      <c r="T17" s="94">
        <v>1396966</v>
      </c>
      <c r="U17" s="94">
        <v>223026.19999999998</v>
      </c>
    </row>
    <row r="18" spans="1:21" ht="13.5" customHeight="1" x14ac:dyDescent="0.2">
      <c r="A18" s="95" t="s">
        <v>295</v>
      </c>
      <c r="B18" s="96">
        <v>5006</v>
      </c>
      <c r="C18" s="92">
        <v>417</v>
      </c>
      <c r="D18" s="98">
        <v>6.75</v>
      </c>
      <c r="E18" s="279">
        <f t="shared" si="5"/>
        <v>27</v>
      </c>
      <c r="F18" s="98">
        <f t="shared" si="11"/>
        <v>13.6275</v>
      </c>
      <c r="G18" s="93">
        <f t="shared" si="6"/>
        <v>30.599889928453496</v>
      </c>
      <c r="H18" s="98">
        <f t="shared" si="0"/>
        <v>0.49532195927352779</v>
      </c>
      <c r="I18" s="98">
        <f t="shared" si="1"/>
        <v>31.095211887727025</v>
      </c>
      <c r="J18" s="99">
        <f t="shared" si="2"/>
        <v>81039.335100000011</v>
      </c>
      <c r="K18" s="99">
        <f t="shared" si="3"/>
        <v>2519935.2961750142</v>
      </c>
      <c r="L18" s="99">
        <f t="shared" si="7"/>
        <v>977230.90785667044</v>
      </c>
      <c r="M18" s="92">
        <v>0</v>
      </c>
      <c r="N18" s="92">
        <f t="shared" si="8"/>
        <v>0</v>
      </c>
      <c r="O18" s="92">
        <f t="shared" si="9"/>
        <v>0</v>
      </c>
      <c r="P18" s="99">
        <v>0</v>
      </c>
      <c r="Q18" s="94">
        <f t="shared" si="10"/>
        <v>3497166.2040316844</v>
      </c>
      <c r="R18" s="99">
        <v>0</v>
      </c>
      <c r="S18" s="99">
        <f t="shared" si="4"/>
        <v>3497166.2040316844</v>
      </c>
      <c r="T18" s="94">
        <v>1291044</v>
      </c>
      <c r="U18" s="94">
        <v>608824.65</v>
      </c>
    </row>
    <row r="19" spans="1:21" ht="13.5" customHeight="1" x14ac:dyDescent="0.2">
      <c r="A19" s="95" t="s">
        <v>141</v>
      </c>
      <c r="B19" s="96">
        <v>6001</v>
      </c>
      <c r="C19" s="92">
        <v>4156.82</v>
      </c>
      <c r="D19" s="98">
        <v>55</v>
      </c>
      <c r="E19" s="279">
        <f t="shared" si="5"/>
        <v>220</v>
      </c>
      <c r="F19" s="98">
        <f t="shared" si="11"/>
        <v>15</v>
      </c>
      <c r="G19" s="93">
        <f t="shared" si="6"/>
        <v>277.12133333333333</v>
      </c>
      <c r="H19" s="98">
        <f t="shared" si="0"/>
        <v>3.6666666666666665</v>
      </c>
      <c r="I19" s="98">
        <f t="shared" si="1"/>
        <v>280.78800000000001</v>
      </c>
      <c r="J19" s="99">
        <f t="shared" si="2"/>
        <v>81039.335100000011</v>
      </c>
      <c r="K19" s="99">
        <f t="shared" si="3"/>
        <v>22754872.824058805</v>
      </c>
      <c r="L19" s="99">
        <f t="shared" si="7"/>
        <v>8824339.6811700035</v>
      </c>
      <c r="M19" s="92">
        <v>0.1</v>
      </c>
      <c r="N19" s="92">
        <f t="shared" si="8"/>
        <v>1</v>
      </c>
      <c r="O19" s="92">
        <f t="shared" si="9"/>
        <v>749.77600000000007</v>
      </c>
      <c r="P19" s="99">
        <v>7258</v>
      </c>
      <c r="Q19" s="94">
        <f t="shared" si="10"/>
        <v>31587220.281228811</v>
      </c>
      <c r="R19" s="99">
        <v>0</v>
      </c>
      <c r="S19" s="99">
        <f t="shared" si="4"/>
        <v>31587220.281228811</v>
      </c>
      <c r="T19" s="94">
        <v>11603561</v>
      </c>
      <c r="U19" s="94">
        <v>1267310.1099999999</v>
      </c>
    </row>
    <row r="20" spans="1:21" ht="13.5" customHeight="1" x14ac:dyDescent="0.2">
      <c r="A20" s="95" t="s">
        <v>193</v>
      </c>
      <c r="B20" s="96">
        <v>6002</v>
      </c>
      <c r="C20" s="92">
        <v>161</v>
      </c>
      <c r="D20" s="98">
        <v>0</v>
      </c>
      <c r="E20" s="279">
        <f t="shared" si="5"/>
        <v>0</v>
      </c>
      <c r="F20" s="98">
        <f t="shared" si="11"/>
        <v>12</v>
      </c>
      <c r="G20" s="93">
        <f t="shared" si="6"/>
        <v>13.416666666666666</v>
      </c>
      <c r="H20" s="98">
        <f t="shared" si="0"/>
        <v>0</v>
      </c>
      <c r="I20" s="98">
        <f t="shared" si="1"/>
        <v>13.416666666666666</v>
      </c>
      <c r="J20" s="99">
        <f t="shared" si="2"/>
        <v>81039.335100000011</v>
      </c>
      <c r="K20" s="99">
        <f t="shared" si="3"/>
        <v>1087277.7459250002</v>
      </c>
      <c r="L20" s="99">
        <f t="shared" si="7"/>
        <v>421646.30986971507</v>
      </c>
      <c r="M20" s="92">
        <v>0</v>
      </c>
      <c r="N20" s="92">
        <f t="shared" si="8"/>
        <v>0</v>
      </c>
      <c r="O20" s="92">
        <f t="shared" si="9"/>
        <v>0</v>
      </c>
      <c r="P20" s="99">
        <v>0</v>
      </c>
      <c r="Q20" s="94">
        <f t="shared" si="10"/>
        <v>1508924.0557947152</v>
      </c>
      <c r="R20" s="99">
        <v>0</v>
      </c>
      <c r="S20" s="99">
        <f t="shared" si="4"/>
        <v>1508924.0557947152</v>
      </c>
      <c r="T20" s="94">
        <v>665230</v>
      </c>
      <c r="U20" s="94">
        <v>96749.290000000008</v>
      </c>
    </row>
    <row r="21" spans="1:21" ht="13.5" customHeight="1" x14ac:dyDescent="0.2">
      <c r="A21" s="95" t="s">
        <v>275</v>
      </c>
      <c r="B21" s="96">
        <v>6005</v>
      </c>
      <c r="C21" s="92">
        <v>311</v>
      </c>
      <c r="D21" s="98">
        <v>0.5</v>
      </c>
      <c r="E21" s="279">
        <f t="shared" si="5"/>
        <v>2</v>
      </c>
      <c r="F21" s="98">
        <f t="shared" si="11"/>
        <v>12.8325</v>
      </c>
      <c r="G21" s="93">
        <f t="shared" si="6"/>
        <v>24.235339957140074</v>
      </c>
      <c r="H21" s="98">
        <f t="shared" si="0"/>
        <v>3.8963569062926168E-2</v>
      </c>
      <c r="I21" s="98">
        <f t="shared" si="1"/>
        <v>24.274303526202999</v>
      </c>
      <c r="J21" s="99">
        <f t="shared" si="2"/>
        <v>81039.335100000011</v>
      </c>
      <c r="K21" s="99">
        <f t="shared" si="3"/>
        <v>1967173.4177790768</v>
      </c>
      <c r="L21" s="99">
        <f t="shared" si="7"/>
        <v>762869.851414726</v>
      </c>
      <c r="M21" s="92">
        <v>0</v>
      </c>
      <c r="N21" s="92">
        <f t="shared" si="8"/>
        <v>0</v>
      </c>
      <c r="O21" s="92">
        <f t="shared" si="9"/>
        <v>0</v>
      </c>
      <c r="P21" s="99">
        <v>0</v>
      </c>
      <c r="Q21" s="94">
        <f t="shared" si="10"/>
        <v>2730043.269193803</v>
      </c>
      <c r="R21" s="99">
        <v>0</v>
      </c>
      <c r="S21" s="99">
        <f t="shared" si="4"/>
        <v>2730043.269193803</v>
      </c>
      <c r="T21" s="94">
        <v>575274</v>
      </c>
      <c r="U21" s="94">
        <v>77448.789999999994</v>
      </c>
    </row>
    <row r="22" spans="1:21" ht="13.5" customHeight="1" x14ac:dyDescent="0.2">
      <c r="A22" s="95" t="s">
        <v>199</v>
      </c>
      <c r="B22" s="96">
        <v>6006</v>
      </c>
      <c r="C22" s="92">
        <v>563</v>
      </c>
      <c r="D22" s="98">
        <v>1.5</v>
      </c>
      <c r="E22" s="279">
        <f t="shared" si="5"/>
        <v>6</v>
      </c>
      <c r="F22" s="98">
        <f t="shared" si="11"/>
        <v>14.7225</v>
      </c>
      <c r="G22" s="93">
        <f t="shared" si="6"/>
        <v>38.240787909662082</v>
      </c>
      <c r="H22" s="98">
        <f t="shared" si="0"/>
        <v>0.10188487009679062</v>
      </c>
      <c r="I22" s="98">
        <f t="shared" si="1"/>
        <v>38.342672779758871</v>
      </c>
      <c r="J22" s="99">
        <f t="shared" si="2"/>
        <v>81039.335100000011</v>
      </c>
      <c r="K22" s="99">
        <f t="shared" si="3"/>
        <v>3107264.7080285279</v>
      </c>
      <c r="L22" s="99">
        <f t="shared" si="7"/>
        <v>1204997.253773463</v>
      </c>
      <c r="M22" s="92">
        <v>0.2</v>
      </c>
      <c r="N22" s="92">
        <f t="shared" si="8"/>
        <v>2</v>
      </c>
      <c r="O22" s="92">
        <f t="shared" si="9"/>
        <v>1499.5520000000001</v>
      </c>
      <c r="P22" s="99">
        <v>0</v>
      </c>
      <c r="Q22" s="94">
        <f t="shared" si="10"/>
        <v>4313761.513801991</v>
      </c>
      <c r="R22" s="99">
        <v>0</v>
      </c>
      <c r="S22" s="99">
        <f t="shared" si="4"/>
        <v>4313761.513801991</v>
      </c>
      <c r="T22" s="94">
        <v>2746077</v>
      </c>
      <c r="U22" s="94">
        <v>1007240.47</v>
      </c>
    </row>
    <row r="23" spans="1:21" ht="13.5" customHeight="1" x14ac:dyDescent="0.2">
      <c r="A23" s="95" t="s">
        <v>165</v>
      </c>
      <c r="B23" s="96">
        <v>7001</v>
      </c>
      <c r="C23" s="92">
        <v>849.86</v>
      </c>
      <c r="D23" s="98">
        <v>1.5</v>
      </c>
      <c r="E23" s="279">
        <f t="shared" si="5"/>
        <v>6</v>
      </c>
      <c r="F23" s="98">
        <f t="shared" si="11"/>
        <v>15</v>
      </c>
      <c r="G23" s="93">
        <f t="shared" si="6"/>
        <v>56.657333333333334</v>
      </c>
      <c r="H23" s="98">
        <f t="shared" si="0"/>
        <v>0.1</v>
      </c>
      <c r="I23" s="98">
        <f t="shared" si="1"/>
        <v>56.757333333333335</v>
      </c>
      <c r="J23" s="99">
        <f t="shared" si="2"/>
        <v>81039.335100000011</v>
      </c>
      <c r="K23" s="99">
        <f t="shared" si="3"/>
        <v>4599576.5553824008</v>
      </c>
      <c r="L23" s="99">
        <f t="shared" si="7"/>
        <v>1783715.7881772949</v>
      </c>
      <c r="M23" s="92">
        <v>0</v>
      </c>
      <c r="N23" s="92">
        <f t="shared" si="8"/>
        <v>0</v>
      </c>
      <c r="O23" s="92">
        <f t="shared" si="9"/>
        <v>0</v>
      </c>
      <c r="P23" s="99">
        <v>0</v>
      </c>
      <c r="Q23" s="94">
        <f t="shared" si="10"/>
        <v>6383292.3435596954</v>
      </c>
      <c r="R23" s="99">
        <v>0</v>
      </c>
      <c r="S23" s="99">
        <f t="shared" si="4"/>
        <v>6383292.3435596954</v>
      </c>
      <c r="T23" s="94">
        <v>2054024</v>
      </c>
      <c r="U23" s="94">
        <v>462557.42000000004</v>
      </c>
    </row>
    <row r="24" spans="1:21" ht="13.5" customHeight="1" x14ac:dyDescent="0.2">
      <c r="A24" s="95" t="s">
        <v>219</v>
      </c>
      <c r="B24" s="96">
        <v>7002</v>
      </c>
      <c r="C24" s="92">
        <v>338</v>
      </c>
      <c r="D24" s="98">
        <v>2.5</v>
      </c>
      <c r="E24" s="279">
        <f t="shared" si="5"/>
        <v>10</v>
      </c>
      <c r="F24" s="98">
        <f t="shared" si="11"/>
        <v>13.035</v>
      </c>
      <c r="G24" s="93">
        <f t="shared" si="6"/>
        <v>25.930187955504412</v>
      </c>
      <c r="H24" s="98">
        <f t="shared" si="0"/>
        <v>0.19179133103183735</v>
      </c>
      <c r="I24" s="98">
        <f t="shared" si="1"/>
        <v>26.121979286536249</v>
      </c>
      <c r="J24" s="99">
        <f t="shared" si="2"/>
        <v>81039.335100000011</v>
      </c>
      <c r="K24" s="99">
        <f t="shared" si="3"/>
        <v>2116907.8328768704</v>
      </c>
      <c r="L24" s="99">
        <f t="shared" si="7"/>
        <v>820936.85758965032</v>
      </c>
      <c r="M24" s="92">
        <v>0</v>
      </c>
      <c r="N24" s="92">
        <f t="shared" si="8"/>
        <v>0</v>
      </c>
      <c r="O24" s="92">
        <f t="shared" si="9"/>
        <v>0</v>
      </c>
      <c r="P24" s="99">
        <v>0</v>
      </c>
      <c r="Q24" s="94">
        <f t="shared" si="10"/>
        <v>2937844.6904665208</v>
      </c>
      <c r="R24" s="99">
        <v>0</v>
      </c>
      <c r="S24" s="99">
        <f t="shared" si="4"/>
        <v>2937844.6904665208</v>
      </c>
      <c r="T24" s="94">
        <v>944855</v>
      </c>
      <c r="U24" s="94">
        <v>224268.16800000001</v>
      </c>
    </row>
    <row r="25" spans="1:21" ht="13.5" customHeight="1" x14ac:dyDescent="0.2">
      <c r="A25" s="95" t="s">
        <v>149</v>
      </c>
      <c r="B25" s="96">
        <v>9001</v>
      </c>
      <c r="C25" s="92">
        <v>1243.78</v>
      </c>
      <c r="D25" s="98">
        <v>2</v>
      </c>
      <c r="E25" s="279">
        <f t="shared" si="5"/>
        <v>8</v>
      </c>
      <c r="F25" s="98">
        <f t="shared" si="11"/>
        <v>15</v>
      </c>
      <c r="G25" s="93">
        <f t="shared" si="6"/>
        <v>82.918666666666667</v>
      </c>
      <c r="H25" s="98">
        <f t="shared" si="0"/>
        <v>0.13333333333333333</v>
      </c>
      <c r="I25" s="98">
        <f t="shared" si="1"/>
        <v>83.052000000000007</v>
      </c>
      <c r="J25" s="99">
        <f t="shared" si="2"/>
        <v>81039.335100000011</v>
      </c>
      <c r="K25" s="99">
        <f t="shared" si="3"/>
        <v>6730478.8587252013</v>
      </c>
      <c r="L25" s="99">
        <f t="shared" si="7"/>
        <v>2610079.7014136328</v>
      </c>
      <c r="M25" s="92">
        <v>0.1</v>
      </c>
      <c r="N25" s="92">
        <f t="shared" si="8"/>
        <v>1</v>
      </c>
      <c r="O25" s="92">
        <f t="shared" si="9"/>
        <v>749.77600000000007</v>
      </c>
      <c r="P25" s="99">
        <v>0</v>
      </c>
      <c r="Q25" s="94">
        <f t="shared" si="10"/>
        <v>9341308.3361388352</v>
      </c>
      <c r="R25" s="99">
        <v>0</v>
      </c>
      <c r="S25" s="99">
        <f t="shared" si="4"/>
        <v>9341308.3361388352</v>
      </c>
      <c r="T25" s="94">
        <v>3223686</v>
      </c>
      <c r="U25" s="94">
        <v>303789.96999999997</v>
      </c>
    </row>
    <row r="26" spans="1:21" ht="13.5" customHeight="1" x14ac:dyDescent="0.2">
      <c r="A26" s="95" t="s">
        <v>241</v>
      </c>
      <c r="B26" s="96">
        <v>9002</v>
      </c>
      <c r="C26" s="92">
        <v>192.67</v>
      </c>
      <c r="D26" s="98">
        <v>0</v>
      </c>
      <c r="E26" s="279">
        <f t="shared" si="5"/>
        <v>0</v>
      </c>
      <c r="F26" s="98">
        <f t="shared" si="11"/>
        <v>12</v>
      </c>
      <c r="G26" s="93">
        <f t="shared" si="6"/>
        <v>16.055833333333332</v>
      </c>
      <c r="H26" s="98">
        <f t="shared" si="0"/>
        <v>0</v>
      </c>
      <c r="I26" s="98">
        <f t="shared" si="1"/>
        <v>16.055833333333332</v>
      </c>
      <c r="J26" s="99">
        <f t="shared" si="2"/>
        <v>81039.335100000011</v>
      </c>
      <c r="K26" s="99">
        <f t="shared" si="3"/>
        <v>1301154.0578097501</v>
      </c>
      <c r="L26" s="99">
        <f t="shared" si="7"/>
        <v>504587.54361862107</v>
      </c>
      <c r="M26" s="92">
        <v>0.8</v>
      </c>
      <c r="N26" s="92">
        <f t="shared" si="8"/>
        <v>8</v>
      </c>
      <c r="O26" s="92">
        <f t="shared" si="9"/>
        <v>5998.2080000000005</v>
      </c>
      <c r="P26" s="99">
        <v>0</v>
      </c>
      <c r="Q26" s="94">
        <f t="shared" si="10"/>
        <v>1811739.8094283713</v>
      </c>
      <c r="R26" s="99">
        <v>0</v>
      </c>
      <c r="S26" s="99">
        <f t="shared" si="4"/>
        <v>1811739.8094283713</v>
      </c>
      <c r="T26" s="94">
        <v>861029</v>
      </c>
      <c r="U26" s="94">
        <v>179648.90999999997</v>
      </c>
    </row>
    <row r="27" spans="1:21" ht="13.5" customHeight="1" x14ac:dyDescent="0.2">
      <c r="A27" s="95" t="s">
        <v>206</v>
      </c>
      <c r="B27" s="96">
        <v>10001</v>
      </c>
      <c r="C27" s="92">
        <v>138.5</v>
      </c>
      <c r="D27" s="98">
        <v>0</v>
      </c>
      <c r="E27" s="279">
        <f t="shared" si="5"/>
        <v>0</v>
      </c>
      <c r="F27" s="98">
        <f t="shared" si="11"/>
        <v>12</v>
      </c>
      <c r="G27" s="93">
        <f t="shared" si="6"/>
        <v>11.541666666666666</v>
      </c>
      <c r="H27" s="98">
        <f t="shared" si="0"/>
        <v>0</v>
      </c>
      <c r="I27" s="98">
        <f t="shared" si="1"/>
        <v>11.541666666666666</v>
      </c>
      <c r="J27" s="99">
        <f t="shared" si="2"/>
        <v>81039.335100000011</v>
      </c>
      <c r="K27" s="99">
        <f t="shared" si="3"/>
        <v>935328.99261250009</v>
      </c>
      <c r="L27" s="99">
        <f t="shared" si="7"/>
        <v>362720.58333512751</v>
      </c>
      <c r="M27" s="92">
        <v>0.1</v>
      </c>
      <c r="N27" s="92">
        <f t="shared" si="8"/>
        <v>1</v>
      </c>
      <c r="O27" s="92">
        <f t="shared" si="9"/>
        <v>749.77600000000007</v>
      </c>
      <c r="P27" s="99">
        <v>0</v>
      </c>
      <c r="Q27" s="94">
        <f t="shared" si="10"/>
        <v>1298799.3519476277</v>
      </c>
      <c r="R27" s="99">
        <v>0</v>
      </c>
      <c r="S27" s="99">
        <f t="shared" si="4"/>
        <v>1298799.3519476277</v>
      </c>
      <c r="T27" s="94">
        <v>609827</v>
      </c>
      <c r="U27" s="94">
        <v>63266.130000000005</v>
      </c>
    </row>
    <row r="28" spans="1:21" ht="13.5" customHeight="1" x14ac:dyDescent="0.2">
      <c r="A28" s="95" t="s">
        <v>144</v>
      </c>
      <c r="B28" s="96">
        <v>11001</v>
      </c>
      <c r="C28" s="92">
        <v>288</v>
      </c>
      <c r="D28" s="98">
        <v>1.5</v>
      </c>
      <c r="E28" s="279">
        <f t="shared" si="5"/>
        <v>6</v>
      </c>
      <c r="F28" s="98">
        <f t="shared" si="11"/>
        <v>12.66</v>
      </c>
      <c r="G28" s="93">
        <f t="shared" si="6"/>
        <v>22.748815165876778</v>
      </c>
      <c r="H28" s="98">
        <f t="shared" si="0"/>
        <v>0.11848341232227488</v>
      </c>
      <c r="I28" s="98">
        <f t="shared" si="1"/>
        <v>22.867298578199051</v>
      </c>
      <c r="J28" s="99">
        <f t="shared" si="2"/>
        <v>81039.335100000011</v>
      </c>
      <c r="K28" s="99">
        <f t="shared" si="3"/>
        <v>1853150.6723104268</v>
      </c>
      <c r="L28" s="99">
        <f t="shared" si="7"/>
        <v>718651.83072198345</v>
      </c>
      <c r="M28" s="92">
        <v>0</v>
      </c>
      <c r="N28" s="92">
        <f t="shared" si="8"/>
        <v>0</v>
      </c>
      <c r="O28" s="92">
        <f t="shared" si="9"/>
        <v>0</v>
      </c>
      <c r="P28" s="99">
        <v>0</v>
      </c>
      <c r="Q28" s="94">
        <f t="shared" si="10"/>
        <v>2571802.5030324105</v>
      </c>
      <c r="R28" s="99">
        <v>0</v>
      </c>
      <c r="S28" s="99">
        <f t="shared" si="4"/>
        <v>2571802.5030324105</v>
      </c>
      <c r="T28" s="94">
        <v>935334</v>
      </c>
      <c r="U28" s="94">
        <v>148436.76</v>
      </c>
    </row>
    <row r="29" spans="1:21" ht="13.5" customHeight="1" x14ac:dyDescent="0.2">
      <c r="A29" s="95" t="s">
        <v>291</v>
      </c>
      <c r="B29" s="96">
        <v>11004</v>
      </c>
      <c r="C29" s="92">
        <v>841.13</v>
      </c>
      <c r="D29" s="98">
        <v>0</v>
      </c>
      <c r="E29" s="279">
        <f t="shared" si="5"/>
        <v>0</v>
      </c>
      <c r="F29" s="98">
        <f t="shared" si="11"/>
        <v>15</v>
      </c>
      <c r="G29" s="93">
        <f t="shared" si="6"/>
        <v>56.075333333333333</v>
      </c>
      <c r="H29" s="98">
        <f t="shared" si="0"/>
        <v>0</v>
      </c>
      <c r="I29" s="98">
        <f t="shared" si="1"/>
        <v>56.075333333333333</v>
      </c>
      <c r="J29" s="99">
        <f t="shared" si="2"/>
        <v>81039.335100000011</v>
      </c>
      <c r="K29" s="99">
        <f t="shared" si="3"/>
        <v>4544307.7288442003</v>
      </c>
      <c r="L29" s="99">
        <f t="shared" si="7"/>
        <v>1762282.5372457807</v>
      </c>
      <c r="M29" s="92">
        <v>0</v>
      </c>
      <c r="N29" s="92">
        <f t="shared" si="8"/>
        <v>0</v>
      </c>
      <c r="O29" s="92">
        <f t="shared" si="9"/>
        <v>0</v>
      </c>
      <c r="P29" s="99">
        <v>0</v>
      </c>
      <c r="Q29" s="94">
        <f t="shared" si="10"/>
        <v>6306590.2660899814</v>
      </c>
      <c r="R29" s="99">
        <v>0</v>
      </c>
      <c r="S29" s="99">
        <f t="shared" si="4"/>
        <v>6306590.2660899814</v>
      </c>
      <c r="T29" s="94">
        <v>904737</v>
      </c>
      <c r="U29" s="94">
        <v>197461.05</v>
      </c>
    </row>
    <row r="30" spans="1:21" ht="13.5" customHeight="1" x14ac:dyDescent="0.2">
      <c r="A30" s="95" t="s">
        <v>250</v>
      </c>
      <c r="B30" s="96">
        <v>11005</v>
      </c>
      <c r="C30" s="92">
        <v>521.86</v>
      </c>
      <c r="D30" s="98">
        <v>5.25</v>
      </c>
      <c r="E30" s="279">
        <f t="shared" si="5"/>
        <v>21</v>
      </c>
      <c r="F30" s="98">
        <f t="shared" si="11"/>
        <v>14.41395</v>
      </c>
      <c r="G30" s="93">
        <f t="shared" si="6"/>
        <v>36.205203986415938</v>
      </c>
      <c r="H30" s="98">
        <f t="shared" si="0"/>
        <v>0.36423048505094024</v>
      </c>
      <c r="I30" s="98">
        <f t="shared" si="1"/>
        <v>36.569434471466877</v>
      </c>
      <c r="J30" s="99">
        <f t="shared" si="2"/>
        <v>81039.335100000011</v>
      </c>
      <c r="K30" s="99">
        <f t="shared" si="3"/>
        <v>2963562.6545506963</v>
      </c>
      <c r="L30" s="99">
        <f t="shared" si="7"/>
        <v>1149269.5974347598</v>
      </c>
      <c r="M30" s="92">
        <v>0.30000000000000004</v>
      </c>
      <c r="N30" s="92">
        <f t="shared" si="8"/>
        <v>3.0000000000000004</v>
      </c>
      <c r="O30" s="92">
        <f t="shared" si="9"/>
        <v>2249.3280000000004</v>
      </c>
      <c r="P30" s="99">
        <v>0</v>
      </c>
      <c r="Q30" s="94">
        <f t="shared" si="10"/>
        <v>4115081.5799854561</v>
      </c>
      <c r="R30" s="99">
        <v>0</v>
      </c>
      <c r="S30" s="99">
        <f t="shared" si="4"/>
        <v>4115081.5799854561</v>
      </c>
      <c r="T30" s="94">
        <v>1841270</v>
      </c>
      <c r="U30" s="94">
        <v>302069.64</v>
      </c>
    </row>
    <row r="31" spans="1:21" ht="13.5" customHeight="1" x14ac:dyDescent="0.2">
      <c r="A31" s="95" t="s">
        <v>167</v>
      </c>
      <c r="B31" s="96">
        <v>12002</v>
      </c>
      <c r="C31" s="92">
        <v>477</v>
      </c>
      <c r="D31" s="98">
        <v>15.5</v>
      </c>
      <c r="E31" s="279">
        <f t="shared" si="5"/>
        <v>62</v>
      </c>
      <c r="F31" s="98">
        <f t="shared" si="11"/>
        <v>14.077500000000001</v>
      </c>
      <c r="G31" s="93">
        <f t="shared" si="6"/>
        <v>33.883857218966433</v>
      </c>
      <c r="H31" s="98">
        <f t="shared" si="0"/>
        <v>1.1010477712662048</v>
      </c>
      <c r="I31" s="98">
        <f t="shared" si="1"/>
        <v>34.984904990232636</v>
      </c>
      <c r="J31" s="99">
        <f t="shared" si="2"/>
        <v>81039.335100000011</v>
      </c>
      <c r="K31" s="99">
        <f t="shared" si="3"/>
        <v>2835153.4389451253</v>
      </c>
      <c r="L31" s="99">
        <f t="shared" si="7"/>
        <v>1099472.5036229196</v>
      </c>
      <c r="M31" s="92">
        <v>0</v>
      </c>
      <c r="N31" s="92">
        <f t="shared" si="8"/>
        <v>0</v>
      </c>
      <c r="O31" s="92">
        <f t="shared" si="9"/>
        <v>0</v>
      </c>
      <c r="P31" s="99">
        <v>0</v>
      </c>
      <c r="Q31" s="94">
        <f t="shared" si="10"/>
        <v>3934625.9425680451</v>
      </c>
      <c r="R31" s="99">
        <v>0</v>
      </c>
      <c r="S31" s="99">
        <f t="shared" si="4"/>
        <v>3934625.9425680451</v>
      </c>
      <c r="T31" s="94">
        <v>2015362</v>
      </c>
      <c r="U31" s="94">
        <v>330395.16000000009</v>
      </c>
    </row>
    <row r="32" spans="1:21" ht="13.5" customHeight="1" x14ac:dyDescent="0.2">
      <c r="A32" s="95" t="s">
        <v>284</v>
      </c>
      <c r="B32" s="96">
        <v>12003</v>
      </c>
      <c r="C32" s="92">
        <v>340</v>
      </c>
      <c r="D32" s="98">
        <v>10.5</v>
      </c>
      <c r="E32" s="279">
        <f t="shared" si="5"/>
        <v>42</v>
      </c>
      <c r="F32" s="98">
        <f t="shared" si="11"/>
        <v>13.05</v>
      </c>
      <c r="G32" s="93">
        <f t="shared" si="6"/>
        <v>26.053639846743295</v>
      </c>
      <c r="H32" s="98">
        <f t="shared" si="0"/>
        <v>0.80459770114942519</v>
      </c>
      <c r="I32" s="98">
        <f t="shared" si="1"/>
        <v>26.85823754789272</v>
      </c>
      <c r="J32" s="99">
        <f t="shared" si="2"/>
        <v>81039.335100000011</v>
      </c>
      <c r="K32" s="99">
        <f t="shared" si="3"/>
        <v>2176573.712839081</v>
      </c>
      <c r="L32" s="99">
        <f t="shared" si="7"/>
        <v>844075.28583899559</v>
      </c>
      <c r="M32" s="92">
        <v>0</v>
      </c>
      <c r="N32" s="92">
        <f t="shared" si="8"/>
        <v>0</v>
      </c>
      <c r="O32" s="92">
        <f t="shared" si="9"/>
        <v>0</v>
      </c>
      <c r="P32" s="99">
        <v>0</v>
      </c>
      <c r="Q32" s="94">
        <f t="shared" si="10"/>
        <v>3020648.9986780765</v>
      </c>
      <c r="R32" s="99">
        <v>0</v>
      </c>
      <c r="S32" s="99">
        <f t="shared" si="4"/>
        <v>3020648.9986780765</v>
      </c>
      <c r="T32" s="94">
        <v>1070730</v>
      </c>
      <c r="U32" s="94">
        <v>420772.69</v>
      </c>
    </row>
    <row r="33" spans="1:21" ht="13.5" customHeight="1" x14ac:dyDescent="0.2">
      <c r="A33" s="95" t="s">
        <v>271</v>
      </c>
      <c r="B33" s="96">
        <v>13001</v>
      </c>
      <c r="C33" s="92">
        <v>1305.81</v>
      </c>
      <c r="D33" s="98">
        <v>1.25</v>
      </c>
      <c r="E33" s="279">
        <f t="shared" si="5"/>
        <v>5</v>
      </c>
      <c r="F33" s="98">
        <f t="shared" si="11"/>
        <v>15</v>
      </c>
      <c r="G33" s="93">
        <f t="shared" si="6"/>
        <v>87.054000000000002</v>
      </c>
      <c r="H33" s="98">
        <f t="shared" si="0"/>
        <v>8.3333333333333329E-2</v>
      </c>
      <c r="I33" s="98">
        <f t="shared" si="1"/>
        <v>87.137333333333331</v>
      </c>
      <c r="J33" s="99">
        <f t="shared" si="2"/>
        <v>81039.335100000011</v>
      </c>
      <c r="K33" s="99">
        <f t="shared" si="3"/>
        <v>7061551.555720401</v>
      </c>
      <c r="L33" s="99">
        <f t="shared" si="7"/>
        <v>2738469.6933083711</v>
      </c>
      <c r="M33" s="92">
        <v>0</v>
      </c>
      <c r="N33" s="92">
        <f t="shared" si="8"/>
        <v>0</v>
      </c>
      <c r="O33" s="92">
        <f t="shared" si="9"/>
        <v>0</v>
      </c>
      <c r="P33" s="99">
        <v>0</v>
      </c>
      <c r="Q33" s="94">
        <f t="shared" si="10"/>
        <v>9800021.2490287721</v>
      </c>
      <c r="R33" s="99">
        <v>0</v>
      </c>
      <c r="S33" s="99">
        <f t="shared" si="4"/>
        <v>9800021.2490287721</v>
      </c>
      <c r="T33" s="94">
        <v>3588789</v>
      </c>
      <c r="U33" s="94">
        <v>386300.58</v>
      </c>
    </row>
    <row r="34" spans="1:21" ht="13.5" customHeight="1" x14ac:dyDescent="0.2">
      <c r="A34" s="95" t="s">
        <v>215</v>
      </c>
      <c r="B34" s="96">
        <v>13003</v>
      </c>
      <c r="C34" s="92">
        <v>274.22000000000003</v>
      </c>
      <c r="D34" s="98">
        <v>0.75</v>
      </c>
      <c r="E34" s="279">
        <f t="shared" si="5"/>
        <v>3</v>
      </c>
      <c r="F34" s="98">
        <f t="shared" si="11"/>
        <v>12.556650000000001</v>
      </c>
      <c r="G34" s="93">
        <f t="shared" si="6"/>
        <v>21.838627340891083</v>
      </c>
      <c r="H34" s="98">
        <f t="shared" si="0"/>
        <v>5.9729306781665485E-2</v>
      </c>
      <c r="I34" s="98">
        <f t="shared" si="1"/>
        <v>21.898356647672749</v>
      </c>
      <c r="J34" s="99">
        <f t="shared" si="2"/>
        <v>81039.335100000011</v>
      </c>
      <c r="K34" s="99">
        <f t="shared" si="3"/>
        <v>1774628.2625100648</v>
      </c>
      <c r="L34" s="99">
        <f t="shared" si="7"/>
        <v>688200.84020140313</v>
      </c>
      <c r="M34" s="92">
        <v>0.1</v>
      </c>
      <c r="N34" s="92">
        <f t="shared" si="8"/>
        <v>1</v>
      </c>
      <c r="O34" s="92">
        <f t="shared" si="9"/>
        <v>749.77600000000007</v>
      </c>
      <c r="P34" s="99">
        <v>0</v>
      </c>
      <c r="Q34" s="94">
        <f t="shared" si="10"/>
        <v>2463578.8787114681</v>
      </c>
      <c r="R34" s="99">
        <v>0</v>
      </c>
      <c r="S34" s="99">
        <f t="shared" si="4"/>
        <v>2463578.8787114681</v>
      </c>
      <c r="T34" s="94">
        <v>950859</v>
      </c>
      <c r="U34" s="94">
        <v>160054.18</v>
      </c>
    </row>
    <row r="35" spans="1:21" ht="13.5" customHeight="1" x14ac:dyDescent="0.2">
      <c r="A35" s="95" t="s">
        <v>192</v>
      </c>
      <c r="B35" s="96">
        <v>14001</v>
      </c>
      <c r="C35" s="92">
        <v>362.37</v>
      </c>
      <c r="D35" s="98">
        <v>0</v>
      </c>
      <c r="E35" s="279">
        <f t="shared" si="5"/>
        <v>0</v>
      </c>
      <c r="F35" s="98">
        <f t="shared" si="11"/>
        <v>13.217775</v>
      </c>
      <c r="G35" s="93">
        <f t="shared" si="6"/>
        <v>27.415355458842356</v>
      </c>
      <c r="H35" s="98">
        <f t="shared" si="0"/>
        <v>0</v>
      </c>
      <c r="I35" s="98">
        <f t="shared" si="1"/>
        <v>27.415355458842356</v>
      </c>
      <c r="J35" s="99">
        <f t="shared" si="2"/>
        <v>81039.335100000011</v>
      </c>
      <c r="K35" s="99">
        <f t="shared" si="3"/>
        <v>2221722.1779147401</v>
      </c>
      <c r="L35" s="99">
        <f t="shared" si="7"/>
        <v>861583.86059533618</v>
      </c>
      <c r="M35" s="92">
        <v>0.16</v>
      </c>
      <c r="N35" s="92">
        <f t="shared" si="8"/>
        <v>1.5999999999999999</v>
      </c>
      <c r="O35" s="92">
        <f t="shared" si="9"/>
        <v>1199.6416000000002</v>
      </c>
      <c r="P35" s="99">
        <v>0</v>
      </c>
      <c r="Q35" s="94">
        <f t="shared" si="10"/>
        <v>3084505.6801100764</v>
      </c>
      <c r="R35" s="99">
        <v>0</v>
      </c>
      <c r="S35" s="99">
        <f t="shared" si="4"/>
        <v>3084505.6801100764</v>
      </c>
      <c r="T35" s="94">
        <v>332600</v>
      </c>
      <c r="U35" s="94">
        <v>75482.87</v>
      </c>
    </row>
    <row r="36" spans="1:21" ht="13.5" customHeight="1" x14ac:dyDescent="0.2">
      <c r="A36" s="95" t="s">
        <v>205</v>
      </c>
      <c r="B36" s="96">
        <v>14002</v>
      </c>
      <c r="C36" s="92">
        <v>145</v>
      </c>
      <c r="D36" s="98">
        <v>0</v>
      </c>
      <c r="E36" s="279">
        <f t="shared" si="5"/>
        <v>0</v>
      </c>
      <c r="F36" s="98">
        <f t="shared" si="11"/>
        <v>12</v>
      </c>
      <c r="G36" s="93">
        <f t="shared" si="6"/>
        <v>12.083333333333334</v>
      </c>
      <c r="H36" s="98">
        <f t="shared" si="0"/>
        <v>0</v>
      </c>
      <c r="I36" s="98">
        <f t="shared" si="1"/>
        <v>12.083333333333334</v>
      </c>
      <c r="J36" s="99">
        <f t="shared" si="2"/>
        <v>81039.335100000011</v>
      </c>
      <c r="K36" s="99">
        <f t="shared" si="3"/>
        <v>979225.29912500014</v>
      </c>
      <c r="L36" s="99">
        <f t="shared" si="7"/>
        <v>379743.57100067503</v>
      </c>
      <c r="M36" s="92">
        <v>0</v>
      </c>
      <c r="N36" s="92">
        <f t="shared" si="8"/>
        <v>0</v>
      </c>
      <c r="O36" s="92">
        <f t="shared" si="9"/>
        <v>0</v>
      </c>
      <c r="P36" s="99">
        <v>0</v>
      </c>
      <c r="Q36" s="94">
        <f t="shared" si="10"/>
        <v>1358968.8701256751</v>
      </c>
      <c r="R36" s="99">
        <v>0</v>
      </c>
      <c r="S36" s="99">
        <f t="shared" si="4"/>
        <v>1358968.8701256751</v>
      </c>
      <c r="T36" s="94">
        <v>268201</v>
      </c>
      <c r="U36" s="94">
        <v>53890.34</v>
      </c>
    </row>
    <row r="37" spans="1:21" ht="13.5" customHeight="1" x14ac:dyDescent="0.2">
      <c r="A37" s="95" t="s">
        <v>276</v>
      </c>
      <c r="B37" s="96">
        <v>14004</v>
      </c>
      <c r="C37" s="92">
        <v>3387.89</v>
      </c>
      <c r="D37" s="98">
        <v>26.5</v>
      </c>
      <c r="E37" s="279">
        <f t="shared" si="5"/>
        <v>106</v>
      </c>
      <c r="F37" s="98">
        <f t="shared" si="11"/>
        <v>15</v>
      </c>
      <c r="G37" s="93">
        <f t="shared" si="6"/>
        <v>225.85933333333332</v>
      </c>
      <c r="H37" s="98">
        <f t="shared" si="0"/>
        <v>1.7666666666666666</v>
      </c>
      <c r="I37" s="98">
        <f t="shared" si="1"/>
        <v>227.626</v>
      </c>
      <c r="J37" s="99">
        <f t="shared" si="2"/>
        <v>81039.335100000011</v>
      </c>
      <c r="K37" s="99">
        <f t="shared" si="3"/>
        <v>18446659.691472601</v>
      </c>
      <c r="L37" s="99">
        <f t="shared" si="7"/>
        <v>7153614.6283530742</v>
      </c>
      <c r="M37" s="92">
        <v>0.2</v>
      </c>
      <c r="N37" s="92">
        <f t="shared" si="8"/>
        <v>2</v>
      </c>
      <c r="O37" s="92">
        <f t="shared" si="9"/>
        <v>1499.5520000000001</v>
      </c>
      <c r="P37" s="99">
        <v>0</v>
      </c>
      <c r="Q37" s="94">
        <f t="shared" si="10"/>
        <v>25601773.871825676</v>
      </c>
      <c r="R37" s="99">
        <v>0</v>
      </c>
      <c r="S37" s="99">
        <f t="shared" si="4"/>
        <v>25601773.871825676</v>
      </c>
      <c r="T37" s="94">
        <v>11883609</v>
      </c>
      <c r="U37" s="94">
        <v>1075683.8800000001</v>
      </c>
    </row>
    <row r="38" spans="1:21" ht="13.5" customHeight="1" x14ac:dyDescent="0.2">
      <c r="A38" s="95" t="s">
        <v>278</v>
      </c>
      <c r="B38" s="96">
        <v>14005</v>
      </c>
      <c r="C38" s="92">
        <v>271</v>
      </c>
      <c r="D38" s="98">
        <v>0.25</v>
      </c>
      <c r="E38" s="279">
        <f t="shared" si="5"/>
        <v>1</v>
      </c>
      <c r="F38" s="98">
        <f t="shared" si="11"/>
        <v>12.532499999999999</v>
      </c>
      <c r="G38" s="93">
        <f t="shared" si="6"/>
        <v>21.623778176740476</v>
      </c>
      <c r="H38" s="98">
        <f t="shared" si="0"/>
        <v>1.9948134849391584E-2</v>
      </c>
      <c r="I38" s="98">
        <f t="shared" si="1"/>
        <v>21.643726311589869</v>
      </c>
      <c r="J38" s="99">
        <f t="shared" si="2"/>
        <v>81039.335100000011</v>
      </c>
      <c r="K38" s="99">
        <f t="shared" si="3"/>
        <v>1753993.1893776187</v>
      </c>
      <c r="L38" s="99">
        <f t="shared" si="7"/>
        <v>680198.55884064047</v>
      </c>
      <c r="M38" s="92">
        <v>0</v>
      </c>
      <c r="N38" s="92">
        <f t="shared" si="8"/>
        <v>0</v>
      </c>
      <c r="O38" s="92">
        <f t="shared" si="9"/>
        <v>0</v>
      </c>
      <c r="P38" s="99">
        <v>0</v>
      </c>
      <c r="Q38" s="94">
        <f t="shared" si="10"/>
        <v>2434191.7482182593</v>
      </c>
      <c r="R38" s="99">
        <v>0</v>
      </c>
      <c r="S38" s="99">
        <f t="shared" si="4"/>
        <v>2434191.7482182593</v>
      </c>
      <c r="T38" s="94">
        <v>542908</v>
      </c>
      <c r="U38" s="94">
        <v>103504.0199999999</v>
      </c>
    </row>
    <row r="39" spans="1:21" ht="13.5" customHeight="1" x14ac:dyDescent="0.2">
      <c r="A39" s="95" t="s">
        <v>230</v>
      </c>
      <c r="B39" s="96">
        <v>15001</v>
      </c>
      <c r="C39" s="92">
        <v>136</v>
      </c>
      <c r="D39" s="98">
        <v>0</v>
      </c>
      <c r="E39" s="279">
        <f t="shared" si="5"/>
        <v>0</v>
      </c>
      <c r="F39" s="98">
        <f t="shared" si="11"/>
        <v>12</v>
      </c>
      <c r="G39" s="93">
        <f t="shared" si="6"/>
        <v>11.333333333333334</v>
      </c>
      <c r="H39" s="98">
        <f t="shared" si="0"/>
        <v>0</v>
      </c>
      <c r="I39" s="98">
        <f t="shared" si="1"/>
        <v>11.333333333333334</v>
      </c>
      <c r="J39" s="99">
        <f t="shared" si="2"/>
        <v>81039.335100000011</v>
      </c>
      <c r="K39" s="99">
        <f t="shared" si="3"/>
        <v>918445.79780000017</v>
      </c>
      <c r="L39" s="99">
        <f t="shared" si="7"/>
        <v>356173.28038684005</v>
      </c>
      <c r="M39" s="92">
        <v>0.1</v>
      </c>
      <c r="N39" s="92">
        <f t="shared" si="8"/>
        <v>1</v>
      </c>
      <c r="O39" s="92">
        <f t="shared" si="9"/>
        <v>749.77600000000007</v>
      </c>
      <c r="P39" s="99">
        <v>0</v>
      </c>
      <c r="Q39" s="94">
        <f t="shared" si="10"/>
        <v>1275368.8541868404</v>
      </c>
      <c r="R39" s="99">
        <v>0</v>
      </c>
      <c r="S39" s="99">
        <f t="shared" si="4"/>
        <v>1275368.8541868404</v>
      </c>
      <c r="T39" s="94">
        <v>350709</v>
      </c>
      <c r="U39" s="94">
        <v>55933.369999999995</v>
      </c>
    </row>
    <row r="40" spans="1:21" ht="13.5" customHeight="1" x14ac:dyDescent="0.2">
      <c r="A40" s="95" t="s">
        <v>231</v>
      </c>
      <c r="B40" s="96">
        <v>15002</v>
      </c>
      <c r="C40" s="92">
        <v>387.8</v>
      </c>
      <c r="D40" s="98">
        <v>0.25</v>
      </c>
      <c r="E40" s="279">
        <f t="shared" si="5"/>
        <v>1</v>
      </c>
      <c r="F40" s="98">
        <f t="shared" si="11"/>
        <v>13.4085</v>
      </c>
      <c r="G40" s="93">
        <f t="shared" si="6"/>
        <v>28.921952492821717</v>
      </c>
      <c r="H40" s="98">
        <f t="shared" si="0"/>
        <v>1.8644889435805646E-2</v>
      </c>
      <c r="I40" s="98">
        <f t="shared" si="1"/>
        <v>28.940597382257522</v>
      </c>
      <c r="J40" s="99">
        <f t="shared" si="2"/>
        <v>81039.335100000011</v>
      </c>
      <c r="K40" s="99">
        <f t="shared" si="3"/>
        <v>2345326.7692549503</v>
      </c>
      <c r="L40" s="99">
        <f t="shared" si="7"/>
        <v>909517.72111706971</v>
      </c>
      <c r="M40" s="92">
        <v>0</v>
      </c>
      <c r="N40" s="92">
        <f t="shared" si="8"/>
        <v>0</v>
      </c>
      <c r="O40" s="92">
        <f t="shared" si="9"/>
        <v>0</v>
      </c>
      <c r="P40" s="99">
        <v>0</v>
      </c>
      <c r="Q40" s="94">
        <f t="shared" si="10"/>
        <v>3254844.4903720198</v>
      </c>
      <c r="R40" s="99">
        <v>0</v>
      </c>
      <c r="S40" s="99">
        <f t="shared" si="4"/>
        <v>3254844.4903720198</v>
      </c>
      <c r="T40" s="94">
        <v>435131</v>
      </c>
      <c r="U40" s="94">
        <v>128674.88999999998</v>
      </c>
    </row>
    <row r="41" spans="1:21" ht="13.5" customHeight="1" x14ac:dyDescent="0.2">
      <c r="A41" s="95" t="s">
        <v>445</v>
      </c>
      <c r="B41" s="96">
        <v>15003</v>
      </c>
      <c r="C41" s="92">
        <v>159</v>
      </c>
      <c r="D41" s="98">
        <v>0</v>
      </c>
      <c r="E41" s="279">
        <f t="shared" si="5"/>
        <v>0</v>
      </c>
      <c r="F41" s="98">
        <f t="shared" si="11"/>
        <v>12</v>
      </c>
      <c r="G41" s="93">
        <f t="shared" si="6"/>
        <v>13.25</v>
      </c>
      <c r="H41" s="98">
        <f t="shared" si="0"/>
        <v>0</v>
      </c>
      <c r="I41" s="98">
        <f t="shared" si="1"/>
        <v>13.25</v>
      </c>
      <c r="J41" s="99">
        <f t="shared" si="2"/>
        <v>81039.335100000011</v>
      </c>
      <c r="K41" s="99">
        <f t="shared" si="3"/>
        <v>1073771.190075</v>
      </c>
      <c r="L41" s="99">
        <f t="shared" si="7"/>
        <v>416408.46751108498</v>
      </c>
      <c r="M41" s="92">
        <v>0</v>
      </c>
      <c r="N41" s="92">
        <f t="shared" si="8"/>
        <v>0</v>
      </c>
      <c r="O41" s="92">
        <f t="shared" si="9"/>
        <v>0</v>
      </c>
      <c r="P41" s="99">
        <v>0</v>
      </c>
      <c r="Q41" s="94">
        <f t="shared" si="10"/>
        <v>1490179.6575860851</v>
      </c>
      <c r="R41" s="99">
        <v>0</v>
      </c>
      <c r="S41" s="99">
        <f t="shared" si="4"/>
        <v>1490179.6575860851</v>
      </c>
      <c r="T41" s="94">
        <v>58123</v>
      </c>
      <c r="U41" s="94">
        <v>32613.33</v>
      </c>
    </row>
    <row r="42" spans="1:21" ht="13.5" customHeight="1" x14ac:dyDescent="0.2">
      <c r="A42" s="95" t="s">
        <v>171</v>
      </c>
      <c r="B42" s="96">
        <v>16001</v>
      </c>
      <c r="C42" s="92">
        <v>843.46</v>
      </c>
      <c r="D42" s="98">
        <v>0.25</v>
      </c>
      <c r="E42" s="279">
        <f t="shared" si="5"/>
        <v>1</v>
      </c>
      <c r="F42" s="98">
        <f t="shared" si="11"/>
        <v>15</v>
      </c>
      <c r="G42" s="93">
        <f t="shared" si="6"/>
        <v>56.230666666666671</v>
      </c>
      <c r="H42" s="98">
        <f t="shared" si="0"/>
        <v>1.6666666666666666E-2</v>
      </c>
      <c r="I42" s="98">
        <f t="shared" si="1"/>
        <v>56.247333333333337</v>
      </c>
      <c r="J42" s="99">
        <f t="shared" si="2"/>
        <v>81039.335100000011</v>
      </c>
      <c r="K42" s="99">
        <f t="shared" si="3"/>
        <v>4558246.4944814006</v>
      </c>
      <c r="L42" s="99">
        <f t="shared" si="7"/>
        <v>1767687.9905598871</v>
      </c>
      <c r="M42" s="92">
        <v>0.2</v>
      </c>
      <c r="N42" s="92">
        <f t="shared" si="8"/>
        <v>2</v>
      </c>
      <c r="O42" s="92">
        <f t="shared" si="9"/>
        <v>1499.5520000000001</v>
      </c>
      <c r="P42" s="99">
        <v>0</v>
      </c>
      <c r="Q42" s="94">
        <f t="shared" si="10"/>
        <v>6327434.0370412879</v>
      </c>
      <c r="R42" s="99">
        <v>0</v>
      </c>
      <c r="S42" s="99">
        <f t="shared" si="4"/>
        <v>6327434.0370412879</v>
      </c>
      <c r="T42" s="94">
        <v>7621124</v>
      </c>
      <c r="U42" s="94">
        <v>408515.59</v>
      </c>
    </row>
    <row r="43" spans="1:21" ht="13.5" customHeight="1" x14ac:dyDescent="0.2">
      <c r="A43" s="95" t="s">
        <v>183</v>
      </c>
      <c r="B43" s="96">
        <v>16002</v>
      </c>
      <c r="C43" s="92">
        <v>14</v>
      </c>
      <c r="D43" s="98">
        <v>0</v>
      </c>
      <c r="E43" s="279">
        <f t="shared" si="5"/>
        <v>0</v>
      </c>
      <c r="F43" s="98">
        <f t="shared" si="11"/>
        <v>12</v>
      </c>
      <c r="G43" s="93">
        <f t="shared" si="6"/>
        <v>1.1666666666666667</v>
      </c>
      <c r="H43" s="98">
        <f t="shared" si="0"/>
        <v>0</v>
      </c>
      <c r="I43" s="98">
        <f t="shared" si="1"/>
        <v>1.1666666666666667</v>
      </c>
      <c r="J43" s="99">
        <f t="shared" si="2"/>
        <v>81039.335100000011</v>
      </c>
      <c r="K43" s="99">
        <f t="shared" si="3"/>
        <v>94545.890950000015</v>
      </c>
      <c r="L43" s="99">
        <f t="shared" si="7"/>
        <v>36664.896510410006</v>
      </c>
      <c r="M43" s="92">
        <v>0</v>
      </c>
      <c r="N43" s="92">
        <f t="shared" si="8"/>
        <v>0</v>
      </c>
      <c r="O43" s="92">
        <f t="shared" si="9"/>
        <v>0</v>
      </c>
      <c r="P43" s="99">
        <v>0</v>
      </c>
      <c r="Q43" s="94">
        <f t="shared" si="10"/>
        <v>131210.78746041004</v>
      </c>
      <c r="R43" s="99">
        <v>0</v>
      </c>
      <c r="S43" s="99">
        <f t="shared" si="4"/>
        <v>131210.78746041004</v>
      </c>
      <c r="T43" s="94">
        <v>325408</v>
      </c>
      <c r="U43" s="94">
        <v>6071.67</v>
      </c>
    </row>
    <row r="44" spans="1:21" ht="13.5" customHeight="1" x14ac:dyDescent="0.2">
      <c r="A44" s="95" t="s">
        <v>187</v>
      </c>
      <c r="B44" s="96">
        <v>17001</v>
      </c>
      <c r="C44" s="92">
        <v>273</v>
      </c>
      <c r="D44" s="98">
        <v>0</v>
      </c>
      <c r="E44" s="279">
        <f t="shared" si="5"/>
        <v>0</v>
      </c>
      <c r="F44" s="98">
        <f t="shared" si="11"/>
        <v>12.547499999999999</v>
      </c>
      <c r="G44" s="93">
        <f t="shared" si="6"/>
        <v>21.75732217573222</v>
      </c>
      <c r="H44" s="98">
        <f t="shared" si="0"/>
        <v>0</v>
      </c>
      <c r="I44" s="98">
        <f t="shared" si="1"/>
        <v>21.75732217573222</v>
      </c>
      <c r="J44" s="99">
        <f t="shared" si="2"/>
        <v>81039.335100000011</v>
      </c>
      <c r="K44" s="99">
        <f t="shared" si="3"/>
        <v>1763198.9226778247</v>
      </c>
      <c r="L44" s="99">
        <f t="shared" si="7"/>
        <v>683768.54221446044</v>
      </c>
      <c r="M44" s="92">
        <v>0</v>
      </c>
      <c r="N44" s="92">
        <f t="shared" si="8"/>
        <v>0</v>
      </c>
      <c r="O44" s="92">
        <f t="shared" si="9"/>
        <v>0</v>
      </c>
      <c r="P44" s="99">
        <v>0</v>
      </c>
      <c r="Q44" s="94">
        <f t="shared" si="10"/>
        <v>2446967.4648922849</v>
      </c>
      <c r="R44" s="99">
        <v>0</v>
      </c>
      <c r="S44" s="99">
        <f t="shared" si="4"/>
        <v>2446967.4648922849</v>
      </c>
      <c r="T44" s="94">
        <v>366726</v>
      </c>
      <c r="U44" s="94">
        <v>50747.88</v>
      </c>
    </row>
    <row r="45" spans="1:21" ht="13.5" customHeight="1" x14ac:dyDescent="0.2">
      <c r="A45" s="95" t="s">
        <v>236</v>
      </c>
      <c r="B45" s="96">
        <v>17002</v>
      </c>
      <c r="C45" s="92">
        <v>2583.56</v>
      </c>
      <c r="D45" s="98">
        <v>28.25</v>
      </c>
      <c r="E45" s="279">
        <f t="shared" si="5"/>
        <v>113</v>
      </c>
      <c r="F45" s="98">
        <f t="shared" si="11"/>
        <v>15</v>
      </c>
      <c r="G45" s="93">
        <f t="shared" si="6"/>
        <v>172.23733333333334</v>
      </c>
      <c r="H45" s="98">
        <f t="shared" si="0"/>
        <v>1.8833333333333333</v>
      </c>
      <c r="I45" s="98">
        <f t="shared" si="1"/>
        <v>174.12066666666666</v>
      </c>
      <c r="J45" s="99">
        <f t="shared" si="2"/>
        <v>81039.335100000011</v>
      </c>
      <c r="K45" s="99">
        <f t="shared" si="3"/>
        <v>14110623.053835401</v>
      </c>
      <c r="L45" s="99">
        <f t="shared" si="7"/>
        <v>5472099.6202773685</v>
      </c>
      <c r="M45" s="92">
        <v>0.1</v>
      </c>
      <c r="N45" s="92">
        <f t="shared" si="8"/>
        <v>1</v>
      </c>
      <c r="O45" s="92">
        <f t="shared" si="9"/>
        <v>749.77600000000007</v>
      </c>
      <c r="P45" s="99">
        <v>0</v>
      </c>
      <c r="Q45" s="94">
        <f t="shared" si="10"/>
        <v>19583472.450112771</v>
      </c>
      <c r="R45" s="99">
        <v>0</v>
      </c>
      <c r="S45" s="99">
        <f t="shared" si="4"/>
        <v>19583472.450112771</v>
      </c>
      <c r="T45" s="94">
        <v>8101557</v>
      </c>
      <c r="U45" s="94">
        <v>764883.65999999992</v>
      </c>
    </row>
    <row r="46" spans="1:21" ht="13.5" customHeight="1" x14ac:dyDescent="0.2">
      <c r="A46" s="95" t="s">
        <v>239</v>
      </c>
      <c r="B46" s="96">
        <v>17003</v>
      </c>
      <c r="C46" s="92">
        <v>246</v>
      </c>
      <c r="D46" s="98">
        <v>0.5</v>
      </c>
      <c r="E46" s="279">
        <f t="shared" si="5"/>
        <v>2</v>
      </c>
      <c r="F46" s="98">
        <f t="shared" si="11"/>
        <v>12.345000000000001</v>
      </c>
      <c r="G46" s="93">
        <f t="shared" si="6"/>
        <v>19.927095990279465</v>
      </c>
      <c r="H46" s="98">
        <f t="shared" si="0"/>
        <v>4.0502227622519239E-2</v>
      </c>
      <c r="I46" s="98">
        <f t="shared" si="1"/>
        <v>19.967598217901983</v>
      </c>
      <c r="J46" s="99">
        <f t="shared" si="2"/>
        <v>81039.335100000011</v>
      </c>
      <c r="K46" s="99">
        <f t="shared" si="3"/>
        <v>1618160.8831227219</v>
      </c>
      <c r="L46" s="99">
        <f t="shared" si="7"/>
        <v>627522.79047499155</v>
      </c>
      <c r="M46" s="92">
        <v>0</v>
      </c>
      <c r="N46" s="92">
        <f t="shared" si="8"/>
        <v>0</v>
      </c>
      <c r="O46" s="92">
        <f t="shared" si="9"/>
        <v>0</v>
      </c>
      <c r="P46" s="99">
        <v>0</v>
      </c>
      <c r="Q46" s="94">
        <f t="shared" si="10"/>
        <v>2245683.6735977135</v>
      </c>
      <c r="R46" s="99">
        <v>0</v>
      </c>
      <c r="S46" s="99">
        <f t="shared" si="4"/>
        <v>2245683.6735977135</v>
      </c>
      <c r="T46" s="94">
        <v>521927</v>
      </c>
      <c r="U46" s="94">
        <v>73407.179999999993</v>
      </c>
    </row>
    <row r="47" spans="1:21" ht="13.5" customHeight="1" x14ac:dyDescent="0.2">
      <c r="A47" s="95" t="s">
        <v>277</v>
      </c>
      <c r="B47" s="96">
        <v>18003</v>
      </c>
      <c r="C47" s="92">
        <v>157.13999999999999</v>
      </c>
      <c r="D47" s="98">
        <v>0</v>
      </c>
      <c r="E47" s="279">
        <f t="shared" si="5"/>
        <v>0</v>
      </c>
      <c r="F47" s="98">
        <f t="shared" si="11"/>
        <v>12</v>
      </c>
      <c r="G47" s="93">
        <f t="shared" si="6"/>
        <v>13.094999999999999</v>
      </c>
      <c r="H47" s="98">
        <f t="shared" si="0"/>
        <v>0</v>
      </c>
      <c r="I47" s="98">
        <f t="shared" si="1"/>
        <v>13.094999999999999</v>
      </c>
      <c r="J47" s="99">
        <f t="shared" si="2"/>
        <v>81039.335100000011</v>
      </c>
      <c r="K47" s="99">
        <f t="shared" si="3"/>
        <v>1061210.0931345001</v>
      </c>
      <c r="L47" s="99">
        <f t="shared" si="7"/>
        <v>411537.27411755914</v>
      </c>
      <c r="M47" s="92">
        <v>0</v>
      </c>
      <c r="N47" s="92">
        <f t="shared" si="8"/>
        <v>0</v>
      </c>
      <c r="O47" s="92">
        <f t="shared" si="9"/>
        <v>0</v>
      </c>
      <c r="P47" s="99">
        <v>0</v>
      </c>
      <c r="Q47" s="94">
        <f t="shared" si="10"/>
        <v>1472747.3672520593</v>
      </c>
      <c r="R47" s="99">
        <v>0</v>
      </c>
      <c r="S47" s="99">
        <f t="shared" si="4"/>
        <v>1472747.3672520593</v>
      </c>
      <c r="T47" s="94">
        <v>639735</v>
      </c>
      <c r="U47" s="94">
        <v>93008.36</v>
      </c>
    </row>
    <row r="48" spans="1:21" ht="13.5" customHeight="1" x14ac:dyDescent="0.2">
      <c r="A48" s="95" t="s">
        <v>279</v>
      </c>
      <c r="B48" s="96">
        <v>18005</v>
      </c>
      <c r="C48" s="92">
        <v>541</v>
      </c>
      <c r="D48" s="98">
        <v>1</v>
      </c>
      <c r="E48" s="279">
        <f t="shared" si="5"/>
        <v>4</v>
      </c>
      <c r="F48" s="98">
        <f t="shared" si="11"/>
        <v>14.557500000000001</v>
      </c>
      <c r="G48" s="93">
        <f t="shared" si="6"/>
        <v>37.162974411815213</v>
      </c>
      <c r="H48" s="98">
        <f t="shared" si="0"/>
        <v>6.869311351537008E-2</v>
      </c>
      <c r="I48" s="98">
        <f t="shared" si="1"/>
        <v>37.231667525330586</v>
      </c>
      <c r="J48" s="99">
        <f t="shared" si="2"/>
        <v>81039.335100000011</v>
      </c>
      <c r="K48" s="99">
        <f t="shared" si="3"/>
        <v>3017229.5809170534</v>
      </c>
      <c r="L48" s="99">
        <f t="shared" si="7"/>
        <v>1170081.6314796333</v>
      </c>
      <c r="M48" s="92">
        <v>0</v>
      </c>
      <c r="N48" s="92">
        <f t="shared" si="8"/>
        <v>0</v>
      </c>
      <c r="O48" s="92">
        <f t="shared" si="9"/>
        <v>0</v>
      </c>
      <c r="P48" s="99">
        <v>0</v>
      </c>
      <c r="Q48" s="94">
        <f t="shared" si="10"/>
        <v>4187311.2123966869</v>
      </c>
      <c r="R48" s="99">
        <v>0</v>
      </c>
      <c r="S48" s="99">
        <f t="shared" si="4"/>
        <v>4187311.2123966869</v>
      </c>
      <c r="T48" s="94">
        <v>2284565</v>
      </c>
      <c r="U48" s="94">
        <v>318100.40000000002</v>
      </c>
    </row>
    <row r="49" spans="1:21" ht="13.5" customHeight="1" x14ac:dyDescent="0.2">
      <c r="A49" s="95" t="s">
        <v>176</v>
      </c>
      <c r="B49" s="96">
        <v>19004</v>
      </c>
      <c r="C49" s="92">
        <v>502</v>
      </c>
      <c r="D49" s="98">
        <v>0.5</v>
      </c>
      <c r="E49" s="279">
        <f t="shared" si="5"/>
        <v>2</v>
      </c>
      <c r="F49" s="98">
        <f t="shared" si="11"/>
        <v>14.265000000000001</v>
      </c>
      <c r="G49" s="93">
        <f t="shared" si="6"/>
        <v>35.191026989134244</v>
      </c>
      <c r="H49" s="98">
        <f t="shared" si="0"/>
        <v>3.5050823694356817E-2</v>
      </c>
      <c r="I49" s="98">
        <f t="shared" si="1"/>
        <v>35.226077812828599</v>
      </c>
      <c r="J49" s="99">
        <f t="shared" si="2"/>
        <v>81039.335100000011</v>
      </c>
      <c r="K49" s="99">
        <f t="shared" si="3"/>
        <v>2854697.9241324924</v>
      </c>
      <c r="L49" s="99">
        <f t="shared" si="7"/>
        <v>1107051.8549785805</v>
      </c>
      <c r="M49" s="92">
        <v>0.4</v>
      </c>
      <c r="N49" s="92">
        <f t="shared" si="8"/>
        <v>4</v>
      </c>
      <c r="O49" s="92">
        <f t="shared" si="9"/>
        <v>2999.1040000000003</v>
      </c>
      <c r="P49" s="99">
        <v>0</v>
      </c>
      <c r="Q49" s="94">
        <f t="shared" si="10"/>
        <v>3964748.8831110727</v>
      </c>
      <c r="R49" s="99">
        <v>0</v>
      </c>
      <c r="S49" s="99">
        <f t="shared" si="4"/>
        <v>3964748.8831110727</v>
      </c>
      <c r="T49" s="94">
        <v>1976568</v>
      </c>
      <c r="U49" s="94">
        <v>341199.89000000013</v>
      </c>
    </row>
    <row r="50" spans="1:21" ht="13.5" customHeight="1" x14ac:dyDescent="0.2">
      <c r="A50" s="95" t="s">
        <v>180</v>
      </c>
      <c r="B50" s="96">
        <v>20001</v>
      </c>
      <c r="C50" s="92">
        <v>369</v>
      </c>
      <c r="D50" s="98">
        <v>0</v>
      </c>
      <c r="E50" s="279">
        <f t="shared" si="5"/>
        <v>0</v>
      </c>
      <c r="F50" s="98">
        <f t="shared" si="11"/>
        <v>13.2675</v>
      </c>
      <c r="G50" s="93">
        <f t="shared" si="6"/>
        <v>27.81232334652346</v>
      </c>
      <c r="H50" s="98">
        <f t="shared" si="0"/>
        <v>0</v>
      </c>
      <c r="I50" s="98">
        <f t="shared" si="1"/>
        <v>27.81232334652346</v>
      </c>
      <c r="J50" s="99">
        <f t="shared" si="2"/>
        <v>81039.335100000011</v>
      </c>
      <c r="K50" s="99">
        <f t="shared" si="3"/>
        <v>2253892.1915884684</v>
      </c>
      <c r="L50" s="99">
        <f t="shared" si="7"/>
        <v>874059.39189800795</v>
      </c>
      <c r="M50" s="92">
        <v>0</v>
      </c>
      <c r="N50" s="92">
        <f t="shared" si="8"/>
        <v>0</v>
      </c>
      <c r="O50" s="92">
        <f t="shared" si="9"/>
        <v>0</v>
      </c>
      <c r="P50" s="99">
        <v>0</v>
      </c>
      <c r="Q50" s="94">
        <f t="shared" si="10"/>
        <v>3127951.5834864764</v>
      </c>
      <c r="R50" s="99">
        <v>0</v>
      </c>
      <c r="S50" s="99">
        <f t="shared" si="4"/>
        <v>3127951.5834864764</v>
      </c>
      <c r="T50" s="94">
        <v>413329</v>
      </c>
      <c r="U50" s="94">
        <v>111959.43999999999</v>
      </c>
    </row>
    <row r="51" spans="1:21" ht="13.5" customHeight="1" x14ac:dyDescent="0.2">
      <c r="A51" s="95" t="s">
        <v>267</v>
      </c>
      <c r="B51" s="96">
        <v>20003</v>
      </c>
      <c r="C51" s="92">
        <v>346</v>
      </c>
      <c r="D51" s="98">
        <v>0.25</v>
      </c>
      <c r="E51" s="279">
        <f t="shared" si="5"/>
        <v>1</v>
      </c>
      <c r="F51" s="98">
        <f t="shared" si="11"/>
        <v>13.094999999999999</v>
      </c>
      <c r="G51" s="93">
        <f t="shared" si="6"/>
        <v>26.422298587247042</v>
      </c>
      <c r="H51" s="98">
        <f t="shared" si="0"/>
        <v>1.9091256204658267E-2</v>
      </c>
      <c r="I51" s="98">
        <f t="shared" si="1"/>
        <v>26.441389843451699</v>
      </c>
      <c r="J51" s="99">
        <f t="shared" si="2"/>
        <v>81039.335100000011</v>
      </c>
      <c r="K51" s="99">
        <f t="shared" si="3"/>
        <v>2142792.6520332191</v>
      </c>
      <c r="L51" s="99">
        <f t="shared" si="7"/>
        <v>830974.99045848229</v>
      </c>
      <c r="M51" s="92">
        <v>0</v>
      </c>
      <c r="N51" s="92">
        <f t="shared" si="8"/>
        <v>0</v>
      </c>
      <c r="O51" s="92">
        <f t="shared" si="9"/>
        <v>0</v>
      </c>
      <c r="P51" s="99">
        <v>0</v>
      </c>
      <c r="Q51" s="94">
        <f t="shared" si="10"/>
        <v>2973767.6424917015</v>
      </c>
      <c r="R51" s="99">
        <v>0</v>
      </c>
      <c r="S51" s="99">
        <f t="shared" si="4"/>
        <v>2973767.6424917015</v>
      </c>
      <c r="T51" s="94">
        <v>383062</v>
      </c>
      <c r="U51" s="94">
        <v>64973.24</v>
      </c>
    </row>
    <row r="52" spans="1:21" ht="13.5" customHeight="1" x14ac:dyDescent="0.2">
      <c r="A52" s="95" t="s">
        <v>146</v>
      </c>
      <c r="B52" s="96">
        <v>21001</v>
      </c>
      <c r="C52" s="92">
        <v>209</v>
      </c>
      <c r="D52" s="98">
        <v>1.25</v>
      </c>
      <c r="E52" s="279">
        <f t="shared" si="5"/>
        <v>5</v>
      </c>
      <c r="F52" s="98">
        <f t="shared" si="11"/>
        <v>12.067499999999999</v>
      </c>
      <c r="G52" s="93">
        <f t="shared" si="6"/>
        <v>17.319245908431739</v>
      </c>
      <c r="H52" s="98">
        <f t="shared" si="0"/>
        <v>0.10358400662937643</v>
      </c>
      <c r="I52" s="98">
        <f t="shared" si="1"/>
        <v>17.422829915061115</v>
      </c>
      <c r="J52" s="99">
        <f t="shared" si="2"/>
        <v>81039.335100000011</v>
      </c>
      <c r="K52" s="99">
        <f t="shared" si="3"/>
        <v>1411934.5518769424</v>
      </c>
      <c r="L52" s="99">
        <f t="shared" si="7"/>
        <v>547548.21921787818</v>
      </c>
      <c r="M52" s="92">
        <v>0</v>
      </c>
      <c r="N52" s="92">
        <f t="shared" si="8"/>
        <v>0</v>
      </c>
      <c r="O52" s="92">
        <f t="shared" si="9"/>
        <v>0</v>
      </c>
      <c r="P52" s="99">
        <v>0</v>
      </c>
      <c r="Q52" s="94">
        <f t="shared" si="10"/>
        <v>1959482.7710948205</v>
      </c>
      <c r="R52" s="99">
        <v>0</v>
      </c>
      <c r="S52" s="99">
        <f t="shared" si="4"/>
        <v>1959482.7710948205</v>
      </c>
      <c r="T52" s="94">
        <v>422081</v>
      </c>
      <c r="U52" s="94">
        <v>76368.89</v>
      </c>
    </row>
    <row r="53" spans="1:21" ht="13.5" customHeight="1" x14ac:dyDescent="0.2">
      <c r="A53" s="95" t="s">
        <v>170</v>
      </c>
      <c r="B53" s="96">
        <v>21003</v>
      </c>
      <c r="C53" s="92">
        <v>264.17</v>
      </c>
      <c r="D53" s="98">
        <v>0</v>
      </c>
      <c r="E53" s="279">
        <f t="shared" si="5"/>
        <v>0</v>
      </c>
      <c r="F53" s="98">
        <f t="shared" si="11"/>
        <v>12.481275</v>
      </c>
      <c r="G53" s="93">
        <f t="shared" si="6"/>
        <v>21.165305627830492</v>
      </c>
      <c r="H53" s="98">
        <f t="shared" si="0"/>
        <v>0</v>
      </c>
      <c r="I53" s="98">
        <f t="shared" si="1"/>
        <v>21.165305627830492</v>
      </c>
      <c r="J53" s="99">
        <f t="shared" si="2"/>
        <v>81039.335100000011</v>
      </c>
      <c r="K53" s="99">
        <f t="shared" si="3"/>
        <v>1715222.2952676713</v>
      </c>
      <c r="L53" s="99">
        <f t="shared" si="7"/>
        <v>665163.2061048029</v>
      </c>
      <c r="M53" s="92">
        <v>0.30000000000000004</v>
      </c>
      <c r="N53" s="92">
        <f t="shared" si="8"/>
        <v>3.0000000000000004</v>
      </c>
      <c r="O53" s="92">
        <f t="shared" si="9"/>
        <v>2249.3280000000004</v>
      </c>
      <c r="P53" s="99">
        <v>0</v>
      </c>
      <c r="Q53" s="94">
        <f t="shared" si="10"/>
        <v>2382634.8293724745</v>
      </c>
      <c r="R53" s="99">
        <v>0</v>
      </c>
      <c r="S53" s="99">
        <f t="shared" si="4"/>
        <v>2382634.8293724745</v>
      </c>
      <c r="T53" s="94">
        <v>985006</v>
      </c>
      <c r="U53" s="94">
        <v>160550.41</v>
      </c>
    </row>
    <row r="54" spans="1:21" ht="13.5" customHeight="1" x14ac:dyDescent="0.2">
      <c r="A54" s="95" t="s">
        <v>155</v>
      </c>
      <c r="B54" s="96">
        <v>22001</v>
      </c>
      <c r="C54" s="92">
        <v>75</v>
      </c>
      <c r="D54" s="98">
        <v>0.25</v>
      </c>
      <c r="E54" s="279">
        <f t="shared" si="5"/>
        <v>1</v>
      </c>
      <c r="F54" s="98">
        <f t="shared" si="11"/>
        <v>12</v>
      </c>
      <c r="G54" s="93">
        <f t="shared" si="6"/>
        <v>6.25</v>
      </c>
      <c r="H54" s="98">
        <f t="shared" si="0"/>
        <v>2.0833333333333332E-2</v>
      </c>
      <c r="I54" s="98">
        <f t="shared" si="1"/>
        <v>6.270833333333333</v>
      </c>
      <c r="J54" s="99">
        <f t="shared" si="2"/>
        <v>81039.335100000011</v>
      </c>
      <c r="K54" s="99">
        <f t="shared" si="3"/>
        <v>508184.16385625006</v>
      </c>
      <c r="L54" s="99">
        <f t="shared" si="7"/>
        <v>197073.81874345377</v>
      </c>
      <c r="M54" s="92">
        <v>0</v>
      </c>
      <c r="N54" s="92">
        <f t="shared" si="8"/>
        <v>0</v>
      </c>
      <c r="O54" s="92">
        <f t="shared" si="9"/>
        <v>0</v>
      </c>
      <c r="P54" s="99">
        <v>0</v>
      </c>
      <c r="Q54" s="94">
        <f t="shared" si="10"/>
        <v>705257.98259970383</v>
      </c>
      <c r="R54" s="99">
        <v>0</v>
      </c>
      <c r="S54" s="99">
        <f t="shared" si="4"/>
        <v>705257.98259970383</v>
      </c>
      <c r="T54" s="94">
        <v>524799</v>
      </c>
      <c r="U54" s="94">
        <v>78787.75</v>
      </c>
    </row>
    <row r="55" spans="1:21" ht="13.5" customHeight="1" x14ac:dyDescent="0.2">
      <c r="A55" s="95" t="s">
        <v>182</v>
      </c>
      <c r="B55" s="96">
        <v>22005</v>
      </c>
      <c r="C55" s="92">
        <v>149</v>
      </c>
      <c r="D55" s="98">
        <v>0.25</v>
      </c>
      <c r="E55" s="279">
        <f t="shared" si="5"/>
        <v>1</v>
      </c>
      <c r="F55" s="98">
        <f t="shared" si="11"/>
        <v>12</v>
      </c>
      <c r="G55" s="93">
        <f t="shared" si="6"/>
        <v>12.416666666666666</v>
      </c>
      <c r="H55" s="98">
        <f t="shared" si="0"/>
        <v>2.0833333333333332E-2</v>
      </c>
      <c r="I55" s="98">
        <f t="shared" si="1"/>
        <v>12.4375</v>
      </c>
      <c r="J55" s="99">
        <f t="shared" si="2"/>
        <v>81039.335100000011</v>
      </c>
      <c r="K55" s="99">
        <f t="shared" si="3"/>
        <v>1007926.7303062502</v>
      </c>
      <c r="L55" s="99">
        <f t="shared" si="7"/>
        <v>390873.98601276381</v>
      </c>
      <c r="M55" s="92">
        <v>0</v>
      </c>
      <c r="N55" s="92">
        <f t="shared" si="8"/>
        <v>0</v>
      </c>
      <c r="O55" s="92">
        <f t="shared" si="9"/>
        <v>0</v>
      </c>
      <c r="P55" s="99">
        <v>0</v>
      </c>
      <c r="Q55" s="94">
        <f t="shared" si="10"/>
        <v>1398800.7163190139</v>
      </c>
      <c r="R55" s="99">
        <v>0</v>
      </c>
      <c r="S55" s="99">
        <f t="shared" si="4"/>
        <v>1398800.7163190139</v>
      </c>
      <c r="T55" s="94">
        <v>1018465</v>
      </c>
      <c r="U55" s="94">
        <v>87531.12</v>
      </c>
    </row>
    <row r="56" spans="1:21" ht="13.5" customHeight="1" x14ac:dyDescent="0.2">
      <c r="A56" s="95" t="s">
        <v>214</v>
      </c>
      <c r="B56" s="96">
        <v>22006</v>
      </c>
      <c r="C56" s="92">
        <v>432</v>
      </c>
      <c r="D56" s="98">
        <v>9.75</v>
      </c>
      <c r="E56" s="279">
        <f t="shared" si="5"/>
        <v>39</v>
      </c>
      <c r="F56" s="98">
        <f t="shared" si="11"/>
        <v>13.74</v>
      </c>
      <c r="G56" s="93">
        <f t="shared" si="6"/>
        <v>31.441048034934497</v>
      </c>
      <c r="H56" s="98">
        <f t="shared" si="0"/>
        <v>0.70960698689956325</v>
      </c>
      <c r="I56" s="98">
        <f t="shared" si="1"/>
        <v>32.150655021834062</v>
      </c>
      <c r="J56" s="99">
        <f t="shared" si="2"/>
        <v>81039.335100000011</v>
      </c>
      <c r="K56" s="99">
        <f t="shared" si="3"/>
        <v>2605467.7059989087</v>
      </c>
      <c r="L56" s="99">
        <f t="shared" si="7"/>
        <v>1010400.3763863768</v>
      </c>
      <c r="M56" s="92">
        <v>0</v>
      </c>
      <c r="N56" s="92">
        <f t="shared" si="8"/>
        <v>0</v>
      </c>
      <c r="O56" s="92">
        <f t="shared" si="9"/>
        <v>0</v>
      </c>
      <c r="P56" s="99">
        <v>0</v>
      </c>
      <c r="Q56" s="94">
        <f t="shared" si="10"/>
        <v>3615868.0823852858</v>
      </c>
      <c r="R56" s="99">
        <v>0</v>
      </c>
      <c r="S56" s="99">
        <f t="shared" si="4"/>
        <v>3615868.0823852858</v>
      </c>
      <c r="T56" s="94">
        <v>1947417</v>
      </c>
      <c r="U56" s="94">
        <v>451075.88</v>
      </c>
    </row>
    <row r="57" spans="1:21" ht="13.5" customHeight="1" x14ac:dyDescent="0.2">
      <c r="A57" s="95" t="s">
        <v>181</v>
      </c>
      <c r="B57" s="96">
        <v>23001</v>
      </c>
      <c r="C57" s="92">
        <v>105.34</v>
      </c>
      <c r="D57" s="98">
        <v>0</v>
      </c>
      <c r="E57" s="279">
        <f t="shared" si="5"/>
        <v>0</v>
      </c>
      <c r="F57" s="98">
        <f t="shared" si="11"/>
        <v>12</v>
      </c>
      <c r="G57" s="93">
        <f t="shared" si="6"/>
        <v>8.7783333333333342</v>
      </c>
      <c r="H57" s="98">
        <f t="shared" si="0"/>
        <v>0</v>
      </c>
      <c r="I57" s="98">
        <f t="shared" si="1"/>
        <v>8.7783333333333342</v>
      </c>
      <c r="J57" s="99">
        <f t="shared" si="2"/>
        <v>81039.335100000011</v>
      </c>
      <c r="K57" s="99">
        <f t="shared" si="3"/>
        <v>711390.29661950015</v>
      </c>
      <c r="L57" s="99">
        <f t="shared" si="7"/>
        <v>275877.15702904214</v>
      </c>
      <c r="M57" s="92">
        <v>0.1</v>
      </c>
      <c r="N57" s="92">
        <f t="shared" si="8"/>
        <v>1</v>
      </c>
      <c r="O57" s="92">
        <f t="shared" si="9"/>
        <v>749.77600000000007</v>
      </c>
      <c r="P57" s="99">
        <v>0</v>
      </c>
      <c r="Q57" s="94">
        <f t="shared" si="10"/>
        <v>988017.22964854224</v>
      </c>
      <c r="R57" s="99">
        <v>0</v>
      </c>
      <c r="S57" s="99">
        <f t="shared" si="4"/>
        <v>988017.22964854224</v>
      </c>
      <c r="T57" s="94">
        <v>881985</v>
      </c>
      <c r="U57" s="94">
        <v>61630.759999999995</v>
      </c>
    </row>
    <row r="58" spans="1:21" ht="13.5" customHeight="1" x14ac:dyDescent="0.2">
      <c r="A58" s="95" t="s">
        <v>210</v>
      </c>
      <c r="B58" s="96">
        <v>23002</v>
      </c>
      <c r="C58" s="92">
        <v>660.42</v>
      </c>
      <c r="D58" s="98">
        <v>1</v>
      </c>
      <c r="E58" s="279">
        <f t="shared" si="5"/>
        <v>4</v>
      </c>
      <c r="F58" s="98">
        <f t="shared" si="11"/>
        <v>15</v>
      </c>
      <c r="G58" s="93">
        <f t="shared" si="6"/>
        <v>44.027999999999999</v>
      </c>
      <c r="H58" s="98">
        <f t="shared" si="0"/>
        <v>6.6666666666666666E-2</v>
      </c>
      <c r="I58" s="98">
        <f t="shared" si="1"/>
        <v>44.094666666666669</v>
      </c>
      <c r="J58" s="99">
        <f t="shared" si="2"/>
        <v>81039.335100000011</v>
      </c>
      <c r="K58" s="99">
        <f t="shared" si="3"/>
        <v>3573402.4681228008</v>
      </c>
      <c r="L58" s="99">
        <f t="shared" si="7"/>
        <v>1385765.477138022</v>
      </c>
      <c r="M58" s="92">
        <v>0</v>
      </c>
      <c r="N58" s="92">
        <f t="shared" si="8"/>
        <v>0</v>
      </c>
      <c r="O58" s="92">
        <f t="shared" si="9"/>
        <v>0</v>
      </c>
      <c r="P58" s="99">
        <v>0</v>
      </c>
      <c r="Q58" s="94">
        <f t="shared" si="10"/>
        <v>4959167.9452608228</v>
      </c>
      <c r="R58" s="99">
        <v>0</v>
      </c>
      <c r="S58" s="99">
        <f t="shared" si="4"/>
        <v>4959167.9452608228</v>
      </c>
      <c r="T58" s="94">
        <v>3266367</v>
      </c>
      <c r="U58" s="94">
        <v>380318.83999999997</v>
      </c>
    </row>
    <row r="59" spans="1:21" ht="13.5" customHeight="1" x14ac:dyDescent="0.2">
      <c r="A59" s="95" t="s">
        <v>243</v>
      </c>
      <c r="B59" s="96">
        <v>23003</v>
      </c>
      <c r="C59" s="92">
        <v>106</v>
      </c>
      <c r="D59" s="98">
        <v>0</v>
      </c>
      <c r="E59" s="279">
        <f t="shared" si="5"/>
        <v>0</v>
      </c>
      <c r="F59" s="98">
        <f t="shared" si="11"/>
        <v>12</v>
      </c>
      <c r="G59" s="93">
        <f t="shared" si="6"/>
        <v>8.8333333333333339</v>
      </c>
      <c r="H59" s="98">
        <f t="shared" si="0"/>
        <v>0</v>
      </c>
      <c r="I59" s="98">
        <f t="shared" si="1"/>
        <v>8.8333333333333339</v>
      </c>
      <c r="J59" s="99">
        <f t="shared" si="2"/>
        <v>81039.335100000011</v>
      </c>
      <c r="K59" s="99">
        <f t="shared" si="3"/>
        <v>715847.46005000011</v>
      </c>
      <c r="L59" s="99">
        <f t="shared" si="7"/>
        <v>277605.64500739001</v>
      </c>
      <c r="M59" s="92">
        <v>0</v>
      </c>
      <c r="N59" s="92">
        <f t="shared" si="8"/>
        <v>0</v>
      </c>
      <c r="O59" s="92">
        <f t="shared" si="9"/>
        <v>0</v>
      </c>
      <c r="P59" s="99">
        <v>0</v>
      </c>
      <c r="Q59" s="94">
        <f t="shared" si="10"/>
        <v>993453.10505739017</v>
      </c>
      <c r="R59" s="99">
        <v>0</v>
      </c>
      <c r="S59" s="99">
        <f t="shared" si="4"/>
        <v>993453.10505739017</v>
      </c>
      <c r="T59" s="94">
        <v>202546</v>
      </c>
      <c r="U59" s="94">
        <v>71431.149999999994</v>
      </c>
    </row>
    <row r="60" spans="1:21" ht="13.5" customHeight="1" x14ac:dyDescent="0.2">
      <c r="A60" s="95" t="s">
        <v>294</v>
      </c>
      <c r="B60" s="96">
        <v>24004</v>
      </c>
      <c r="C60" s="92">
        <v>387</v>
      </c>
      <c r="D60" s="98">
        <v>7.75</v>
      </c>
      <c r="E60" s="279">
        <f t="shared" si="5"/>
        <v>31</v>
      </c>
      <c r="F60" s="98">
        <f t="shared" si="11"/>
        <v>13.4025</v>
      </c>
      <c r="G60" s="93">
        <f t="shared" si="6"/>
        <v>28.875209848908785</v>
      </c>
      <c r="H60" s="98">
        <f t="shared" si="0"/>
        <v>0.57825032643163587</v>
      </c>
      <c r="I60" s="98">
        <f t="shared" si="1"/>
        <v>29.453460175340421</v>
      </c>
      <c r="J60" s="99">
        <f t="shared" si="2"/>
        <v>81039.335100000011</v>
      </c>
      <c r="K60" s="99">
        <f t="shared" si="3"/>
        <v>2386888.8290039175</v>
      </c>
      <c r="L60" s="99">
        <f t="shared" si="7"/>
        <v>925635.48788771918</v>
      </c>
      <c r="M60" s="92">
        <v>0.1</v>
      </c>
      <c r="N60" s="92">
        <f t="shared" si="8"/>
        <v>1</v>
      </c>
      <c r="O60" s="92">
        <f t="shared" si="9"/>
        <v>749.77600000000007</v>
      </c>
      <c r="P60" s="99">
        <v>0</v>
      </c>
      <c r="Q60" s="94">
        <f t="shared" si="10"/>
        <v>3313274.0928916368</v>
      </c>
      <c r="R60" s="99">
        <v>0</v>
      </c>
      <c r="S60" s="99">
        <f t="shared" si="4"/>
        <v>3313274.0928916368</v>
      </c>
      <c r="T60" s="94">
        <v>1395653</v>
      </c>
      <c r="U60" s="94">
        <v>164925.4</v>
      </c>
    </row>
    <row r="61" spans="1:21" ht="13.5" customHeight="1" x14ac:dyDescent="0.2">
      <c r="A61" s="95" t="s">
        <v>234</v>
      </c>
      <c r="B61" s="96">
        <v>25004</v>
      </c>
      <c r="C61" s="92">
        <v>1021.43</v>
      </c>
      <c r="D61" s="98">
        <v>16</v>
      </c>
      <c r="E61" s="279">
        <f t="shared" si="5"/>
        <v>64</v>
      </c>
      <c r="F61" s="98">
        <f t="shared" si="11"/>
        <v>15</v>
      </c>
      <c r="G61" s="93">
        <f t="shared" si="6"/>
        <v>68.095333333333329</v>
      </c>
      <c r="H61" s="98">
        <f t="shared" si="0"/>
        <v>1.0666666666666667</v>
      </c>
      <c r="I61" s="98">
        <f t="shared" si="1"/>
        <v>69.161999999999992</v>
      </c>
      <c r="J61" s="99">
        <f t="shared" si="2"/>
        <v>81039.335100000011</v>
      </c>
      <c r="K61" s="99">
        <f t="shared" si="3"/>
        <v>5604842.4941862002</v>
      </c>
      <c r="L61" s="99">
        <f t="shared" si="7"/>
        <v>2173557.9192454084</v>
      </c>
      <c r="M61" s="92">
        <v>0.2</v>
      </c>
      <c r="N61" s="92">
        <f t="shared" si="8"/>
        <v>2</v>
      </c>
      <c r="O61" s="92">
        <f t="shared" si="9"/>
        <v>1499.5520000000001</v>
      </c>
      <c r="P61" s="99">
        <v>0</v>
      </c>
      <c r="Q61" s="94">
        <f t="shared" si="10"/>
        <v>7779899.9654316092</v>
      </c>
      <c r="R61" s="99">
        <v>0</v>
      </c>
      <c r="S61" s="99">
        <f t="shared" si="4"/>
        <v>7779899.9654316092</v>
      </c>
      <c r="T61" s="94">
        <v>3863225</v>
      </c>
      <c r="U61" s="94">
        <v>391546.98</v>
      </c>
    </row>
    <row r="62" spans="1:21" ht="12.75" customHeight="1" x14ac:dyDescent="0.2">
      <c r="A62" s="95" t="s">
        <v>160</v>
      </c>
      <c r="B62" s="96">
        <v>26002</v>
      </c>
      <c r="C62" s="92">
        <v>212</v>
      </c>
      <c r="D62" s="98">
        <v>0</v>
      </c>
      <c r="E62" s="279">
        <f t="shared" si="5"/>
        <v>0</v>
      </c>
      <c r="F62" s="98">
        <f t="shared" si="11"/>
        <v>12.09</v>
      </c>
      <c r="G62" s="93">
        <f t="shared" si="6"/>
        <v>17.535153019023987</v>
      </c>
      <c r="H62" s="98">
        <f t="shared" si="0"/>
        <v>0</v>
      </c>
      <c r="I62" s="98">
        <f t="shared" si="1"/>
        <v>17.535153019023987</v>
      </c>
      <c r="J62" s="99">
        <f t="shared" si="2"/>
        <v>81039.335100000011</v>
      </c>
      <c r="K62" s="99">
        <f t="shared" si="3"/>
        <v>1421037.1415384617</v>
      </c>
      <c r="L62" s="99">
        <f t="shared" si="7"/>
        <v>551078.20348861546</v>
      </c>
      <c r="M62" s="92">
        <v>0.1</v>
      </c>
      <c r="N62" s="92">
        <f t="shared" si="8"/>
        <v>1</v>
      </c>
      <c r="O62" s="92">
        <f t="shared" si="9"/>
        <v>749.77600000000007</v>
      </c>
      <c r="P62" s="99">
        <v>0</v>
      </c>
      <c r="Q62" s="94">
        <f t="shared" si="10"/>
        <v>1972865.1210270771</v>
      </c>
      <c r="R62" s="99">
        <v>0</v>
      </c>
      <c r="S62" s="99">
        <f t="shared" si="4"/>
        <v>1972865.1210270771</v>
      </c>
      <c r="T62" s="94">
        <v>483733</v>
      </c>
      <c r="U62" s="94">
        <v>95696.959999999992</v>
      </c>
    </row>
    <row r="63" spans="1:21" ht="13.5" customHeight="1" x14ac:dyDescent="0.2">
      <c r="A63" s="95" t="s">
        <v>198</v>
      </c>
      <c r="B63" s="96">
        <v>26004</v>
      </c>
      <c r="C63" s="92">
        <v>402.58</v>
      </c>
      <c r="D63" s="98">
        <v>0</v>
      </c>
      <c r="E63" s="279">
        <f t="shared" si="5"/>
        <v>0</v>
      </c>
      <c r="F63" s="98">
        <f t="shared" si="11"/>
        <v>13.519349999999999</v>
      </c>
      <c r="G63" s="93">
        <f t="shared" si="6"/>
        <v>29.778058856379928</v>
      </c>
      <c r="H63" s="98">
        <f t="shared" si="0"/>
        <v>0</v>
      </c>
      <c r="I63" s="98">
        <f t="shared" si="1"/>
        <v>29.778058856379928</v>
      </c>
      <c r="J63" s="99">
        <f t="shared" si="2"/>
        <v>81039.335100000011</v>
      </c>
      <c r="K63" s="99">
        <f t="shared" si="3"/>
        <v>2413194.0902896961</v>
      </c>
      <c r="L63" s="99">
        <f t="shared" si="7"/>
        <v>935836.66821434407</v>
      </c>
      <c r="M63" s="92">
        <v>0</v>
      </c>
      <c r="N63" s="92">
        <f t="shared" si="8"/>
        <v>0</v>
      </c>
      <c r="O63" s="92">
        <f t="shared" si="9"/>
        <v>0</v>
      </c>
      <c r="P63" s="99">
        <v>0</v>
      </c>
      <c r="Q63" s="94">
        <f t="shared" si="10"/>
        <v>3349030.7585040401</v>
      </c>
      <c r="R63" s="99">
        <v>0</v>
      </c>
      <c r="S63" s="99">
        <f t="shared" si="4"/>
        <v>3349030.7585040401</v>
      </c>
      <c r="T63" s="94">
        <v>904484</v>
      </c>
      <c r="U63" s="94">
        <v>187851.87</v>
      </c>
    </row>
    <row r="64" spans="1:21" ht="13.5" customHeight="1" x14ac:dyDescent="0.2">
      <c r="A64" s="95" t="s">
        <v>262</v>
      </c>
      <c r="B64" s="96">
        <v>26005</v>
      </c>
      <c r="C64" s="92">
        <v>76</v>
      </c>
      <c r="D64" s="98">
        <v>0</v>
      </c>
      <c r="E64" s="279">
        <f t="shared" si="5"/>
        <v>0</v>
      </c>
      <c r="F64" s="98">
        <f t="shared" si="11"/>
        <v>12</v>
      </c>
      <c r="G64" s="93">
        <f t="shared" si="6"/>
        <v>6.333333333333333</v>
      </c>
      <c r="H64" s="98">
        <f t="shared" si="0"/>
        <v>0</v>
      </c>
      <c r="I64" s="98">
        <f t="shared" si="1"/>
        <v>6.333333333333333</v>
      </c>
      <c r="J64" s="99">
        <f t="shared" si="2"/>
        <v>81039.335100000011</v>
      </c>
      <c r="K64" s="99">
        <f t="shared" si="3"/>
        <v>513249.12230000005</v>
      </c>
      <c r="L64" s="99">
        <f t="shared" si="7"/>
        <v>199038.00962794002</v>
      </c>
      <c r="M64" s="92">
        <v>0</v>
      </c>
      <c r="N64" s="92">
        <f t="shared" si="8"/>
        <v>0</v>
      </c>
      <c r="O64" s="92">
        <f t="shared" si="9"/>
        <v>0</v>
      </c>
      <c r="P64" s="99">
        <v>0</v>
      </c>
      <c r="Q64" s="94">
        <f t="shared" si="10"/>
        <v>712287.13192794006</v>
      </c>
      <c r="R64" s="99">
        <v>0</v>
      </c>
      <c r="S64" s="99">
        <f t="shared" si="4"/>
        <v>712287.13192794006</v>
      </c>
      <c r="T64" s="94">
        <v>356054</v>
      </c>
      <c r="U64" s="94">
        <v>61909.479999999996</v>
      </c>
    </row>
    <row r="65" spans="1:21" ht="13.5" customHeight="1" x14ac:dyDescent="0.2">
      <c r="A65" s="95" t="s">
        <v>200</v>
      </c>
      <c r="B65" s="96">
        <v>27001</v>
      </c>
      <c r="C65" s="92">
        <v>316.38</v>
      </c>
      <c r="D65" s="98">
        <v>0</v>
      </c>
      <c r="E65" s="279">
        <f t="shared" si="5"/>
        <v>0</v>
      </c>
      <c r="F65" s="98">
        <f t="shared" si="11"/>
        <v>12.87285</v>
      </c>
      <c r="G65" s="93">
        <f t="shared" si="6"/>
        <v>24.577308055325744</v>
      </c>
      <c r="H65" s="98">
        <f t="shared" si="0"/>
        <v>0</v>
      </c>
      <c r="I65" s="98">
        <f t="shared" si="1"/>
        <v>24.577308055325744</v>
      </c>
      <c r="J65" s="99">
        <f t="shared" si="2"/>
        <v>81039.335100000011</v>
      </c>
      <c r="K65" s="99">
        <f t="shared" si="3"/>
        <v>1991728.7033514725</v>
      </c>
      <c r="L65" s="99">
        <f t="shared" si="7"/>
        <v>772392.39115970104</v>
      </c>
      <c r="M65" s="92">
        <v>0.1</v>
      </c>
      <c r="N65" s="92">
        <f t="shared" si="8"/>
        <v>1</v>
      </c>
      <c r="O65" s="92">
        <f t="shared" si="9"/>
        <v>749.77600000000007</v>
      </c>
      <c r="P65" s="99">
        <v>0</v>
      </c>
      <c r="Q65" s="94">
        <f t="shared" si="10"/>
        <v>2764870.8705111737</v>
      </c>
      <c r="R65" s="99">
        <v>0</v>
      </c>
      <c r="S65" s="99">
        <f t="shared" si="4"/>
        <v>2764870.8705111737</v>
      </c>
      <c r="T65" s="94">
        <v>901315</v>
      </c>
      <c r="U65" s="94">
        <v>220001.96</v>
      </c>
    </row>
    <row r="66" spans="1:21" ht="13.5" customHeight="1" x14ac:dyDescent="0.2">
      <c r="A66" s="95" t="s">
        <v>163</v>
      </c>
      <c r="B66" s="96">
        <v>28001</v>
      </c>
      <c r="C66" s="92">
        <v>355.43</v>
      </c>
      <c r="D66" s="98">
        <v>4.75</v>
      </c>
      <c r="E66" s="279">
        <f t="shared" si="5"/>
        <v>19</v>
      </c>
      <c r="F66" s="98">
        <f t="shared" si="11"/>
        <v>13.165725</v>
      </c>
      <c r="G66" s="93">
        <f t="shared" si="6"/>
        <v>26.996614314821251</v>
      </c>
      <c r="H66" s="98">
        <f t="shared" si="0"/>
        <v>0.36078529666995168</v>
      </c>
      <c r="I66" s="98">
        <f t="shared" si="1"/>
        <v>27.357399611491203</v>
      </c>
      <c r="J66" s="99">
        <f t="shared" si="2"/>
        <v>81039.335100000011</v>
      </c>
      <c r="K66" s="99">
        <f t="shared" si="3"/>
        <v>2217025.4745802456</v>
      </c>
      <c r="L66" s="99">
        <f t="shared" si="7"/>
        <v>859762.47904221923</v>
      </c>
      <c r="M66" s="92">
        <v>0</v>
      </c>
      <c r="N66" s="92">
        <f t="shared" si="8"/>
        <v>0</v>
      </c>
      <c r="O66" s="92">
        <f t="shared" si="9"/>
        <v>0</v>
      </c>
      <c r="P66" s="99">
        <v>0</v>
      </c>
      <c r="Q66" s="94">
        <f t="shared" si="10"/>
        <v>3076787.953622465</v>
      </c>
      <c r="R66" s="99">
        <v>0</v>
      </c>
      <c r="S66" s="99">
        <f t="shared" si="4"/>
        <v>3076787.953622465</v>
      </c>
      <c r="T66" s="94">
        <v>679017</v>
      </c>
      <c r="U66" s="94">
        <v>118697.19999999998</v>
      </c>
    </row>
    <row r="67" spans="1:21" ht="13.5" customHeight="1" x14ac:dyDescent="0.2">
      <c r="A67" s="95" t="s">
        <v>186</v>
      </c>
      <c r="B67" s="96">
        <v>28002</v>
      </c>
      <c r="C67" s="92">
        <v>275.14</v>
      </c>
      <c r="D67" s="98">
        <v>2.75</v>
      </c>
      <c r="E67" s="279">
        <f t="shared" si="5"/>
        <v>11</v>
      </c>
      <c r="F67" s="98">
        <f t="shared" si="11"/>
        <v>12.563549999999999</v>
      </c>
      <c r="G67" s="93">
        <f t="shared" si="6"/>
        <v>21.899861106136402</v>
      </c>
      <c r="H67" s="98">
        <f t="shared" si="0"/>
        <v>0.21888717758913684</v>
      </c>
      <c r="I67" s="98">
        <f t="shared" si="1"/>
        <v>22.118748283725541</v>
      </c>
      <c r="J67" s="99">
        <f t="shared" si="2"/>
        <v>81039.335100000011</v>
      </c>
      <c r="K67" s="99">
        <f t="shared" si="3"/>
        <v>1792488.6541573843</v>
      </c>
      <c r="L67" s="99">
        <f t="shared" si="7"/>
        <v>695127.10008223355</v>
      </c>
      <c r="M67" s="92">
        <v>0</v>
      </c>
      <c r="N67" s="92">
        <f t="shared" si="8"/>
        <v>0</v>
      </c>
      <c r="O67" s="92">
        <f t="shared" si="9"/>
        <v>0</v>
      </c>
      <c r="P67" s="99">
        <v>0</v>
      </c>
      <c r="Q67" s="94">
        <f t="shared" si="10"/>
        <v>2487615.7542396178</v>
      </c>
      <c r="R67" s="99">
        <v>0</v>
      </c>
      <c r="S67" s="99">
        <f t="shared" si="4"/>
        <v>2487615.7542396178</v>
      </c>
      <c r="T67" s="94">
        <v>1416041</v>
      </c>
      <c r="U67" s="94">
        <v>155624.76</v>
      </c>
    </row>
    <row r="68" spans="1:21" ht="13.5" customHeight="1" x14ac:dyDescent="0.2">
      <c r="A68" s="95" t="s">
        <v>201</v>
      </c>
      <c r="B68" s="96">
        <v>28003</v>
      </c>
      <c r="C68" s="92">
        <v>843</v>
      </c>
      <c r="D68" s="98">
        <v>9.5</v>
      </c>
      <c r="E68" s="279">
        <f t="shared" si="5"/>
        <v>38</v>
      </c>
      <c r="F68" s="98">
        <f t="shared" si="11"/>
        <v>15</v>
      </c>
      <c r="G68" s="93">
        <f t="shared" si="6"/>
        <v>56.2</v>
      </c>
      <c r="H68" s="98">
        <f t="shared" si="0"/>
        <v>0.6333333333333333</v>
      </c>
      <c r="I68" s="98">
        <f t="shared" si="1"/>
        <v>56.833333333333336</v>
      </c>
      <c r="J68" s="99">
        <f t="shared" si="2"/>
        <v>81039.335100000011</v>
      </c>
      <c r="K68" s="99">
        <f t="shared" si="3"/>
        <v>4605735.5448500011</v>
      </c>
      <c r="L68" s="99">
        <f t="shared" si="7"/>
        <v>1786104.2442928303</v>
      </c>
      <c r="M68" s="92">
        <v>0</v>
      </c>
      <c r="N68" s="92">
        <f t="shared" si="8"/>
        <v>0</v>
      </c>
      <c r="O68" s="92">
        <f t="shared" si="9"/>
        <v>0</v>
      </c>
      <c r="P68" s="99">
        <v>0</v>
      </c>
      <c r="Q68" s="94">
        <f t="shared" si="10"/>
        <v>6391839.7891428312</v>
      </c>
      <c r="R68" s="99">
        <v>0</v>
      </c>
      <c r="S68" s="99">
        <f t="shared" si="4"/>
        <v>6391839.7891428312</v>
      </c>
      <c r="T68" s="94">
        <v>2334583</v>
      </c>
      <c r="U68" s="94">
        <v>332257.92000000004</v>
      </c>
    </row>
    <row r="69" spans="1:21" ht="13.5" customHeight="1" x14ac:dyDescent="0.2">
      <c r="A69" s="95" t="s">
        <v>235</v>
      </c>
      <c r="B69" s="96">
        <v>29004</v>
      </c>
      <c r="C69" s="92">
        <v>465.03</v>
      </c>
      <c r="D69" s="98">
        <v>7.75</v>
      </c>
      <c r="E69" s="279">
        <f t="shared" si="5"/>
        <v>31</v>
      </c>
      <c r="F69" s="98">
        <f t="shared" si="11"/>
        <v>13.987724999999999</v>
      </c>
      <c r="G69" s="93">
        <f t="shared" si="6"/>
        <v>33.245577819123554</v>
      </c>
      <c r="H69" s="98">
        <f t="shared" si="0"/>
        <v>0.55405721802508989</v>
      </c>
      <c r="I69" s="98">
        <f t="shared" si="1"/>
        <v>33.799635037148647</v>
      </c>
      <c r="J69" s="99">
        <f t="shared" si="2"/>
        <v>81039.335100000011</v>
      </c>
      <c r="K69" s="99">
        <f t="shared" si="3"/>
        <v>2739099.9500331907</v>
      </c>
      <c r="L69" s="99">
        <f t="shared" si="7"/>
        <v>1062222.9606228713</v>
      </c>
      <c r="M69" s="92">
        <v>0</v>
      </c>
      <c r="N69" s="92">
        <f t="shared" si="8"/>
        <v>0</v>
      </c>
      <c r="O69" s="92">
        <f t="shared" si="9"/>
        <v>0</v>
      </c>
      <c r="P69" s="99">
        <v>0</v>
      </c>
      <c r="Q69" s="94">
        <f t="shared" si="10"/>
        <v>3801322.910656062</v>
      </c>
      <c r="R69" s="99">
        <v>0</v>
      </c>
      <c r="S69" s="99">
        <f t="shared" si="4"/>
        <v>3801322.910656062</v>
      </c>
      <c r="T69" s="94">
        <v>2221742</v>
      </c>
      <c r="U69" s="94">
        <v>340140.89</v>
      </c>
    </row>
    <row r="70" spans="1:21" ht="13.5" customHeight="1" x14ac:dyDescent="0.2">
      <c r="A70" s="95" t="s">
        <v>202</v>
      </c>
      <c r="B70" s="96">
        <v>30001</v>
      </c>
      <c r="C70" s="92">
        <v>341</v>
      </c>
      <c r="D70" s="98">
        <v>5.5</v>
      </c>
      <c r="E70" s="279">
        <f t="shared" si="5"/>
        <v>22</v>
      </c>
      <c r="F70" s="98">
        <f t="shared" si="11"/>
        <v>13.057500000000001</v>
      </c>
      <c r="G70" s="93">
        <f t="shared" si="6"/>
        <v>26.115259429446677</v>
      </c>
      <c r="H70" s="98">
        <f t="shared" ref="H70:H133" si="12">D70/F70</f>
        <v>0.42121386176526898</v>
      </c>
      <c r="I70" s="98">
        <f t="shared" ref="I70:I133" si="13">G70+H70</f>
        <v>26.536473291211948</v>
      </c>
      <c r="J70" s="99">
        <f t="shared" ref="J70:J133" si="14">$J$4*1.29</f>
        <v>81039.335100000011</v>
      </c>
      <c r="K70" s="99">
        <f t="shared" ref="K70:K133" si="15">I70*J70</f>
        <v>2150498.151418725</v>
      </c>
      <c r="L70" s="99">
        <f t="shared" si="7"/>
        <v>833963.18312018155</v>
      </c>
      <c r="M70" s="92">
        <v>0</v>
      </c>
      <c r="N70" s="92">
        <f t="shared" si="8"/>
        <v>0</v>
      </c>
      <c r="O70" s="92">
        <f t="shared" si="9"/>
        <v>0</v>
      </c>
      <c r="P70" s="99">
        <v>0</v>
      </c>
      <c r="Q70" s="94">
        <f t="shared" si="10"/>
        <v>2984461.3345389068</v>
      </c>
      <c r="R70" s="99">
        <v>0</v>
      </c>
      <c r="S70" s="99">
        <f t="shared" ref="S70:S133" si="16">IF(R70=0,Q70,R70)</f>
        <v>2984461.3345389068</v>
      </c>
      <c r="T70" s="94">
        <v>939742</v>
      </c>
      <c r="U70" s="94">
        <v>128014.81999999999</v>
      </c>
    </row>
    <row r="71" spans="1:21" ht="13.5" customHeight="1" x14ac:dyDescent="0.2">
      <c r="A71" s="95" t="s">
        <v>157</v>
      </c>
      <c r="B71" s="96">
        <v>30003</v>
      </c>
      <c r="C71" s="92">
        <v>304.3</v>
      </c>
      <c r="D71" s="98">
        <v>0.5</v>
      </c>
      <c r="E71" s="279">
        <f t="shared" ref="E71:E134" si="17">D71/0.25</f>
        <v>2</v>
      </c>
      <c r="F71" s="98">
        <f t="shared" si="11"/>
        <v>12.782249999999999</v>
      </c>
      <c r="G71" s="93">
        <f t="shared" ref="G71:G134" si="18">C71/F71</f>
        <v>23.80645035107278</v>
      </c>
      <c r="H71" s="98">
        <f t="shared" si="12"/>
        <v>3.9116743922235915E-2</v>
      </c>
      <c r="I71" s="98">
        <f t="shared" si="13"/>
        <v>23.845567094995015</v>
      </c>
      <c r="J71" s="99">
        <f t="shared" si="14"/>
        <v>81039.335100000011</v>
      </c>
      <c r="K71" s="99">
        <f t="shared" si="15"/>
        <v>1932428.9024608349</v>
      </c>
      <c r="L71" s="99">
        <f t="shared" ref="L71:L134" si="19">K71*0.3878</f>
        <v>749395.92837431177</v>
      </c>
      <c r="M71" s="92">
        <v>0</v>
      </c>
      <c r="N71" s="92">
        <f t="shared" ref="N71:N134" si="20">M71/0.1</f>
        <v>0</v>
      </c>
      <c r="O71" s="92">
        <f t="shared" ref="O71:O134" si="21">M71*$O$4</f>
        <v>0</v>
      </c>
      <c r="P71" s="99">
        <v>0</v>
      </c>
      <c r="Q71" s="94">
        <f t="shared" ref="Q71:Q134" si="22">K71+L71+O71+P71</f>
        <v>2681824.8308351468</v>
      </c>
      <c r="R71" s="99">
        <v>0</v>
      </c>
      <c r="S71" s="99">
        <f t="shared" si="16"/>
        <v>2681824.8308351468</v>
      </c>
      <c r="T71" s="94">
        <v>883436</v>
      </c>
      <c r="U71" s="94">
        <v>121207.67000000001</v>
      </c>
    </row>
    <row r="72" spans="1:21" ht="13.5" customHeight="1" x14ac:dyDescent="0.2">
      <c r="A72" s="95" t="s">
        <v>203</v>
      </c>
      <c r="B72" s="96">
        <v>31001</v>
      </c>
      <c r="C72" s="92">
        <v>235.5</v>
      </c>
      <c r="D72" s="98">
        <v>0</v>
      </c>
      <c r="E72" s="279">
        <f t="shared" si="17"/>
        <v>0</v>
      </c>
      <c r="F72" s="98">
        <f t="shared" ref="F72:F135" si="23">IF(C72&lt;200,12,IF(C72&gt;600,15,(C72*0.0075)+10.5))</f>
        <v>12.266249999999999</v>
      </c>
      <c r="G72" s="93">
        <f t="shared" si="18"/>
        <v>19.199021705900336</v>
      </c>
      <c r="H72" s="98">
        <f t="shared" si="12"/>
        <v>0</v>
      </c>
      <c r="I72" s="98">
        <f t="shared" si="13"/>
        <v>19.199021705900336</v>
      </c>
      <c r="J72" s="99">
        <f t="shared" si="14"/>
        <v>81039.335100000011</v>
      </c>
      <c r="K72" s="99">
        <f t="shared" si="15"/>
        <v>1555875.9536166312</v>
      </c>
      <c r="L72" s="99">
        <f t="shared" si="19"/>
        <v>603368.6948125296</v>
      </c>
      <c r="M72" s="92">
        <v>0.4</v>
      </c>
      <c r="N72" s="92">
        <f t="shared" si="20"/>
        <v>4</v>
      </c>
      <c r="O72" s="92">
        <f t="shared" si="21"/>
        <v>2999.1040000000003</v>
      </c>
      <c r="P72" s="99">
        <v>0</v>
      </c>
      <c r="Q72" s="94">
        <f t="shared" si="22"/>
        <v>2162243.7524291608</v>
      </c>
      <c r="R72" s="99">
        <v>0</v>
      </c>
      <c r="S72" s="99">
        <f t="shared" si="16"/>
        <v>2162243.7524291608</v>
      </c>
      <c r="T72" s="94">
        <v>789884</v>
      </c>
      <c r="U72" s="94">
        <v>216533.42</v>
      </c>
    </row>
    <row r="73" spans="1:21" ht="13.5" customHeight="1" x14ac:dyDescent="0.2">
      <c r="A73" s="95" t="s">
        <v>248</v>
      </c>
      <c r="B73" s="96">
        <v>32002</v>
      </c>
      <c r="C73" s="92">
        <v>2639.48</v>
      </c>
      <c r="D73" s="98">
        <v>7</v>
      </c>
      <c r="E73" s="279">
        <f t="shared" si="17"/>
        <v>28</v>
      </c>
      <c r="F73" s="98">
        <f t="shared" si="23"/>
        <v>15</v>
      </c>
      <c r="G73" s="93">
        <f t="shared" si="18"/>
        <v>175.96533333333335</v>
      </c>
      <c r="H73" s="98">
        <f t="shared" si="12"/>
        <v>0.46666666666666667</v>
      </c>
      <c r="I73" s="98">
        <f t="shared" si="13"/>
        <v>176.43200000000002</v>
      </c>
      <c r="J73" s="99">
        <f t="shared" si="14"/>
        <v>81039.335100000011</v>
      </c>
      <c r="K73" s="99">
        <f t="shared" si="15"/>
        <v>14297931.970363203</v>
      </c>
      <c r="L73" s="99">
        <f t="shared" si="19"/>
        <v>5544738.0181068499</v>
      </c>
      <c r="M73" s="92">
        <v>0.2</v>
      </c>
      <c r="N73" s="92">
        <f t="shared" si="20"/>
        <v>2</v>
      </c>
      <c r="O73" s="92">
        <f t="shared" si="21"/>
        <v>1499.5520000000001</v>
      </c>
      <c r="P73" s="99">
        <v>11142</v>
      </c>
      <c r="Q73" s="94">
        <f t="shared" si="22"/>
        <v>19855311.540470056</v>
      </c>
      <c r="R73" s="99">
        <v>0</v>
      </c>
      <c r="S73" s="99">
        <f t="shared" si="16"/>
        <v>19855311.540470056</v>
      </c>
      <c r="T73" s="94">
        <v>6593072</v>
      </c>
      <c r="U73" s="94">
        <v>1503877.67</v>
      </c>
    </row>
    <row r="74" spans="1:21" ht="13.5" customHeight="1" x14ac:dyDescent="0.2">
      <c r="A74" s="95" t="s">
        <v>194</v>
      </c>
      <c r="B74" s="96">
        <v>33001</v>
      </c>
      <c r="C74" s="92">
        <v>426.85</v>
      </c>
      <c r="D74" s="98">
        <v>11.5</v>
      </c>
      <c r="E74" s="279">
        <f t="shared" si="17"/>
        <v>46</v>
      </c>
      <c r="F74" s="98">
        <f t="shared" si="23"/>
        <v>13.701375000000001</v>
      </c>
      <c r="G74" s="93">
        <f t="shared" si="18"/>
        <v>31.153807555811007</v>
      </c>
      <c r="H74" s="98">
        <f t="shared" si="12"/>
        <v>0.83933181888679054</v>
      </c>
      <c r="I74" s="98">
        <f t="shared" si="13"/>
        <v>31.993139374697797</v>
      </c>
      <c r="J74" s="99">
        <f t="shared" si="14"/>
        <v>81039.335100000011</v>
      </c>
      <c r="K74" s="99">
        <f t="shared" si="15"/>
        <v>2592702.7426871397</v>
      </c>
      <c r="L74" s="99">
        <f t="shared" si="19"/>
        <v>1005450.1236140727</v>
      </c>
      <c r="M74" s="92">
        <v>0</v>
      </c>
      <c r="N74" s="92">
        <f t="shared" si="20"/>
        <v>0</v>
      </c>
      <c r="O74" s="92">
        <f t="shared" si="21"/>
        <v>0</v>
      </c>
      <c r="P74" s="99">
        <v>0</v>
      </c>
      <c r="Q74" s="94">
        <f t="shared" si="22"/>
        <v>3598152.8663012125</v>
      </c>
      <c r="R74" s="99">
        <v>0</v>
      </c>
      <c r="S74" s="99">
        <f t="shared" si="16"/>
        <v>3598152.8663012125</v>
      </c>
      <c r="T74" s="94">
        <v>1091053</v>
      </c>
      <c r="U74" s="94">
        <v>200119.94</v>
      </c>
    </row>
    <row r="75" spans="1:21" ht="13.5" customHeight="1" x14ac:dyDescent="0.2">
      <c r="A75" s="95" t="s">
        <v>233</v>
      </c>
      <c r="B75" s="96">
        <v>33002</v>
      </c>
      <c r="C75" s="92">
        <v>246.8</v>
      </c>
      <c r="D75" s="98">
        <v>6.5</v>
      </c>
      <c r="E75" s="279">
        <f t="shared" si="17"/>
        <v>26</v>
      </c>
      <c r="F75" s="98">
        <f t="shared" si="23"/>
        <v>12.350999999999999</v>
      </c>
      <c r="G75" s="93">
        <f t="shared" si="18"/>
        <v>19.982187677111167</v>
      </c>
      <c r="H75" s="98">
        <f t="shared" si="12"/>
        <v>0.52627317626103154</v>
      </c>
      <c r="I75" s="98">
        <f t="shared" si="13"/>
        <v>20.508460853372199</v>
      </c>
      <c r="J75" s="99">
        <f t="shared" si="14"/>
        <v>81039.335100000011</v>
      </c>
      <c r="K75" s="99">
        <f t="shared" si="15"/>
        <v>1661992.0314816618</v>
      </c>
      <c r="L75" s="99">
        <f t="shared" si="19"/>
        <v>644520.50980858842</v>
      </c>
      <c r="M75" s="92">
        <v>0</v>
      </c>
      <c r="N75" s="92">
        <f t="shared" si="20"/>
        <v>0</v>
      </c>
      <c r="O75" s="92">
        <f t="shared" si="21"/>
        <v>0</v>
      </c>
      <c r="P75" s="99">
        <v>0</v>
      </c>
      <c r="Q75" s="94">
        <f t="shared" si="22"/>
        <v>2306512.5412902501</v>
      </c>
      <c r="R75" s="99">
        <v>0</v>
      </c>
      <c r="S75" s="99">
        <f t="shared" si="16"/>
        <v>2306512.5412902501</v>
      </c>
      <c r="T75" s="94">
        <v>659976</v>
      </c>
      <c r="U75" s="94">
        <v>410019.54000000004</v>
      </c>
    </row>
    <row r="76" spans="1:21" ht="13.5" customHeight="1" x14ac:dyDescent="0.2">
      <c r="A76" s="95" t="s">
        <v>247</v>
      </c>
      <c r="B76" s="96">
        <v>33003</v>
      </c>
      <c r="C76" s="92">
        <v>530.20000000000005</v>
      </c>
      <c r="D76" s="98">
        <v>5.5</v>
      </c>
      <c r="E76" s="279">
        <f t="shared" si="17"/>
        <v>22</v>
      </c>
      <c r="F76" s="277">
        <f>((C76-31)*0.0075)+10.5</f>
        <v>14.244</v>
      </c>
      <c r="G76" s="93">
        <f t="shared" si="18"/>
        <v>37.222690255546198</v>
      </c>
      <c r="H76" s="98">
        <f t="shared" si="12"/>
        <v>0.38612749227745014</v>
      </c>
      <c r="I76" s="98">
        <f t="shared" si="13"/>
        <v>37.60881774782365</v>
      </c>
      <c r="J76" s="278">
        <f t="shared" si="14"/>
        <v>81039.335100000011</v>
      </c>
      <c r="K76" s="99">
        <f t="shared" si="15"/>
        <v>3047793.5841807085</v>
      </c>
      <c r="L76" s="99">
        <f t="shared" si="19"/>
        <v>1181934.3519452787</v>
      </c>
      <c r="M76" s="92">
        <v>0</v>
      </c>
      <c r="N76" s="92">
        <f t="shared" si="20"/>
        <v>0</v>
      </c>
      <c r="O76" s="92">
        <f t="shared" si="21"/>
        <v>0</v>
      </c>
      <c r="P76" s="99">
        <v>0</v>
      </c>
      <c r="Q76" s="94">
        <f t="shared" si="22"/>
        <v>4229727.9361259872</v>
      </c>
      <c r="R76" s="99">
        <v>0</v>
      </c>
      <c r="S76" s="99">
        <f t="shared" si="16"/>
        <v>4229727.9361259872</v>
      </c>
      <c r="T76" s="94">
        <v>1176704</v>
      </c>
      <c r="U76" s="94">
        <v>161539.09</v>
      </c>
    </row>
    <row r="77" spans="1:21" ht="13.5" customHeight="1" x14ac:dyDescent="0.2">
      <c r="A77" s="95" t="s">
        <v>269</v>
      </c>
      <c r="B77" s="96">
        <v>33005</v>
      </c>
      <c r="C77" s="92">
        <v>150</v>
      </c>
      <c r="D77" s="98">
        <v>3.5</v>
      </c>
      <c r="E77" s="279">
        <f t="shared" si="17"/>
        <v>14</v>
      </c>
      <c r="F77" s="98">
        <f t="shared" si="23"/>
        <v>12</v>
      </c>
      <c r="G77" s="93">
        <f t="shared" si="18"/>
        <v>12.5</v>
      </c>
      <c r="H77" s="98">
        <f t="shared" si="12"/>
        <v>0.29166666666666669</v>
      </c>
      <c r="I77" s="98">
        <f t="shared" si="13"/>
        <v>12.791666666666666</v>
      </c>
      <c r="J77" s="99">
        <f t="shared" si="14"/>
        <v>81039.335100000011</v>
      </c>
      <c r="K77" s="99">
        <f t="shared" si="15"/>
        <v>1036628.1614875001</v>
      </c>
      <c r="L77" s="99">
        <f t="shared" si="19"/>
        <v>402004.40102485253</v>
      </c>
      <c r="M77" s="92">
        <v>0.2</v>
      </c>
      <c r="N77" s="92">
        <f t="shared" si="20"/>
        <v>2</v>
      </c>
      <c r="O77" s="92">
        <f t="shared" si="21"/>
        <v>1499.5520000000001</v>
      </c>
      <c r="P77" s="99">
        <v>0</v>
      </c>
      <c r="Q77" s="94">
        <f t="shared" si="22"/>
        <v>1440132.1145123525</v>
      </c>
      <c r="R77" s="99">
        <v>0</v>
      </c>
      <c r="S77" s="99">
        <f t="shared" si="16"/>
        <v>1440132.1145123525</v>
      </c>
      <c r="T77" s="94">
        <v>694614</v>
      </c>
      <c r="U77" s="94">
        <v>231457.59000000003</v>
      </c>
    </row>
    <row r="78" spans="1:21" ht="13.5" customHeight="1" x14ac:dyDescent="0.2">
      <c r="A78" s="95" t="s">
        <v>207</v>
      </c>
      <c r="B78" s="96">
        <v>34002</v>
      </c>
      <c r="C78" s="92">
        <v>220.26</v>
      </c>
      <c r="D78" s="98">
        <v>0.25</v>
      </c>
      <c r="E78" s="279">
        <f t="shared" si="17"/>
        <v>1</v>
      </c>
      <c r="F78" s="98">
        <f t="shared" si="23"/>
        <v>12.151949999999999</v>
      </c>
      <c r="G78" s="93">
        <f t="shared" si="18"/>
        <v>18.125486033105798</v>
      </c>
      <c r="H78" s="98">
        <f t="shared" si="12"/>
        <v>2.0572829875040631E-2</v>
      </c>
      <c r="I78" s="98">
        <f t="shared" si="13"/>
        <v>18.146058862980837</v>
      </c>
      <c r="J78" s="99">
        <f t="shared" si="14"/>
        <v>81039.335100000011</v>
      </c>
      <c r="K78" s="99">
        <f t="shared" si="15"/>
        <v>1470544.5449414293</v>
      </c>
      <c r="L78" s="99">
        <f t="shared" si="19"/>
        <v>570277.17452828621</v>
      </c>
      <c r="M78" s="92">
        <v>0.1</v>
      </c>
      <c r="N78" s="92">
        <f t="shared" si="20"/>
        <v>1</v>
      </c>
      <c r="O78" s="92">
        <f t="shared" si="21"/>
        <v>749.77600000000007</v>
      </c>
      <c r="P78" s="99">
        <v>0</v>
      </c>
      <c r="Q78" s="94">
        <f t="shared" si="22"/>
        <v>2041571.4954697154</v>
      </c>
      <c r="R78" s="99">
        <v>0</v>
      </c>
      <c r="S78" s="99">
        <f t="shared" si="16"/>
        <v>2041571.4954697154</v>
      </c>
      <c r="T78" s="94">
        <v>1413302</v>
      </c>
      <c r="U78" s="94">
        <v>194235.90999999992</v>
      </c>
    </row>
    <row r="79" spans="1:21" ht="13.5" customHeight="1" x14ac:dyDescent="0.2">
      <c r="A79" s="95" t="s">
        <v>218</v>
      </c>
      <c r="B79" s="96">
        <v>35002</v>
      </c>
      <c r="C79" s="92">
        <v>279.83</v>
      </c>
      <c r="D79" s="98">
        <v>0</v>
      </c>
      <c r="E79" s="279">
        <f t="shared" si="17"/>
        <v>0</v>
      </c>
      <c r="F79" s="98">
        <f t="shared" si="23"/>
        <v>12.598725</v>
      </c>
      <c r="G79" s="93">
        <f t="shared" si="18"/>
        <v>22.210977698140088</v>
      </c>
      <c r="H79" s="98">
        <f t="shared" si="12"/>
        <v>0</v>
      </c>
      <c r="I79" s="98">
        <f t="shared" si="13"/>
        <v>22.210977698140088</v>
      </c>
      <c r="J79" s="99">
        <f t="shared" si="14"/>
        <v>81039.335100000011</v>
      </c>
      <c r="K79" s="99">
        <f t="shared" si="15"/>
        <v>1799962.8645782014</v>
      </c>
      <c r="L79" s="99">
        <f t="shared" si="19"/>
        <v>698025.59888342652</v>
      </c>
      <c r="M79" s="92">
        <v>0.1</v>
      </c>
      <c r="N79" s="92">
        <f t="shared" si="20"/>
        <v>1</v>
      </c>
      <c r="O79" s="92">
        <f t="shared" si="21"/>
        <v>749.77600000000007</v>
      </c>
      <c r="P79" s="99">
        <v>0</v>
      </c>
      <c r="Q79" s="94">
        <f t="shared" si="22"/>
        <v>2498738.2394616283</v>
      </c>
      <c r="R79" s="99">
        <v>0</v>
      </c>
      <c r="S79" s="99">
        <f t="shared" si="16"/>
        <v>2498738.2394616283</v>
      </c>
      <c r="T79" s="94">
        <v>664643</v>
      </c>
      <c r="U79" s="94">
        <v>271130.34999999998</v>
      </c>
    </row>
    <row r="80" spans="1:21" ht="13.5" customHeight="1" x14ac:dyDescent="0.2">
      <c r="A80" s="95" t="s">
        <v>280</v>
      </c>
      <c r="B80" s="96">
        <v>36002</v>
      </c>
      <c r="C80" s="92">
        <v>492.21</v>
      </c>
      <c r="D80" s="98">
        <v>3</v>
      </c>
      <c r="E80" s="279">
        <f t="shared" si="17"/>
        <v>12</v>
      </c>
      <c r="F80" s="98">
        <f t="shared" si="23"/>
        <v>14.191575</v>
      </c>
      <c r="G80" s="93">
        <f t="shared" si="18"/>
        <v>34.683253972867703</v>
      </c>
      <c r="H80" s="98">
        <f t="shared" si="12"/>
        <v>0.21139302720099776</v>
      </c>
      <c r="I80" s="98">
        <f t="shared" si="13"/>
        <v>34.894647000068701</v>
      </c>
      <c r="J80" s="99">
        <f t="shared" si="14"/>
        <v>81039.335100000011</v>
      </c>
      <c r="K80" s="99">
        <f t="shared" si="15"/>
        <v>2827838.9914347776</v>
      </c>
      <c r="L80" s="99">
        <f t="shared" si="19"/>
        <v>1096635.9608784067</v>
      </c>
      <c r="M80" s="92">
        <v>0</v>
      </c>
      <c r="N80" s="92">
        <f t="shared" si="20"/>
        <v>0</v>
      </c>
      <c r="O80" s="92">
        <f t="shared" si="21"/>
        <v>0</v>
      </c>
      <c r="P80" s="99">
        <v>0</v>
      </c>
      <c r="Q80" s="94">
        <f t="shared" si="22"/>
        <v>3924474.9523131843</v>
      </c>
      <c r="R80" s="99">
        <v>0</v>
      </c>
      <c r="S80" s="99">
        <f t="shared" si="16"/>
        <v>3924474.9523131843</v>
      </c>
      <c r="T80" s="94">
        <v>1209633</v>
      </c>
      <c r="U80" s="94">
        <v>321732.97000000003</v>
      </c>
    </row>
    <row r="81" spans="1:21" ht="13.5" customHeight="1" x14ac:dyDescent="0.2">
      <c r="A81" s="95" t="s">
        <v>217</v>
      </c>
      <c r="B81" s="96">
        <v>37003</v>
      </c>
      <c r="C81" s="92">
        <v>173.14</v>
      </c>
      <c r="D81" s="98">
        <v>0</v>
      </c>
      <c r="E81" s="279">
        <f t="shared" si="17"/>
        <v>0</v>
      </c>
      <c r="F81" s="98">
        <f t="shared" si="23"/>
        <v>12</v>
      </c>
      <c r="G81" s="93">
        <f t="shared" si="18"/>
        <v>14.428333333333333</v>
      </c>
      <c r="H81" s="98">
        <f t="shared" si="12"/>
        <v>0</v>
      </c>
      <c r="I81" s="98">
        <f t="shared" si="13"/>
        <v>14.428333333333333</v>
      </c>
      <c r="J81" s="99">
        <f t="shared" si="14"/>
        <v>81039.335100000011</v>
      </c>
      <c r="K81" s="99">
        <f t="shared" si="15"/>
        <v>1169262.5399345001</v>
      </c>
      <c r="L81" s="99">
        <f t="shared" si="19"/>
        <v>453440.01298659912</v>
      </c>
      <c r="M81" s="92">
        <v>0</v>
      </c>
      <c r="N81" s="92">
        <f t="shared" si="20"/>
        <v>0</v>
      </c>
      <c r="O81" s="92">
        <f t="shared" si="21"/>
        <v>0</v>
      </c>
      <c r="P81" s="99">
        <v>0</v>
      </c>
      <c r="Q81" s="94">
        <f t="shared" si="22"/>
        <v>1622702.5529210991</v>
      </c>
      <c r="R81" s="99">
        <v>0</v>
      </c>
      <c r="S81" s="99">
        <f t="shared" si="16"/>
        <v>1622702.5529210991</v>
      </c>
      <c r="T81" s="94">
        <v>558296</v>
      </c>
      <c r="U81" s="94">
        <v>184064.84</v>
      </c>
    </row>
    <row r="82" spans="1:21" ht="13.5" customHeight="1" x14ac:dyDescent="0.2">
      <c r="A82" s="95" t="s">
        <v>145</v>
      </c>
      <c r="B82" s="96">
        <v>38001</v>
      </c>
      <c r="C82" s="92">
        <v>269</v>
      </c>
      <c r="D82" s="98">
        <v>1.5</v>
      </c>
      <c r="E82" s="279">
        <f t="shared" si="17"/>
        <v>6</v>
      </c>
      <c r="F82" s="98">
        <f t="shared" si="23"/>
        <v>12.5175</v>
      </c>
      <c r="G82" s="93">
        <f t="shared" si="18"/>
        <v>21.489914120231674</v>
      </c>
      <c r="H82" s="98">
        <f t="shared" si="12"/>
        <v>0.11983223487118035</v>
      </c>
      <c r="I82" s="98">
        <f t="shared" si="13"/>
        <v>21.609746355102853</v>
      </c>
      <c r="J82" s="99">
        <f t="shared" si="14"/>
        <v>81039.335100000011</v>
      </c>
      <c r="K82" s="99">
        <f t="shared" si="15"/>
        <v>1751239.4762971839</v>
      </c>
      <c r="L82" s="99">
        <f t="shared" si="19"/>
        <v>679130.66890804784</v>
      </c>
      <c r="M82" s="92">
        <v>0</v>
      </c>
      <c r="N82" s="92">
        <f t="shared" si="20"/>
        <v>0</v>
      </c>
      <c r="O82" s="92">
        <f t="shared" si="21"/>
        <v>0</v>
      </c>
      <c r="P82" s="99">
        <v>0</v>
      </c>
      <c r="Q82" s="94">
        <f t="shared" si="22"/>
        <v>2430370.1452052318</v>
      </c>
      <c r="R82" s="99">
        <v>0</v>
      </c>
      <c r="S82" s="99">
        <f t="shared" si="16"/>
        <v>2430370.1452052318</v>
      </c>
      <c r="T82" s="94">
        <v>1158608</v>
      </c>
      <c r="U82" s="94">
        <v>148001.60000000001</v>
      </c>
    </row>
    <row r="83" spans="1:21" ht="13.5" customHeight="1" x14ac:dyDescent="0.2">
      <c r="A83" s="95" t="s">
        <v>173</v>
      </c>
      <c r="B83" s="96">
        <v>38002</v>
      </c>
      <c r="C83" s="92">
        <v>359</v>
      </c>
      <c r="D83" s="98">
        <v>2</v>
      </c>
      <c r="E83" s="279">
        <f t="shared" si="17"/>
        <v>8</v>
      </c>
      <c r="F83" s="98">
        <f t="shared" si="23"/>
        <v>13.192499999999999</v>
      </c>
      <c r="G83" s="93">
        <f t="shared" si="18"/>
        <v>27.212431305666101</v>
      </c>
      <c r="H83" s="98">
        <f t="shared" si="12"/>
        <v>0.15160128861095321</v>
      </c>
      <c r="I83" s="98">
        <f t="shared" si="13"/>
        <v>27.364032594277052</v>
      </c>
      <c r="J83" s="99">
        <f t="shared" si="14"/>
        <v>81039.335100000011</v>
      </c>
      <c r="K83" s="99">
        <f t="shared" si="15"/>
        <v>2217563.0070949406</v>
      </c>
      <c r="L83" s="99">
        <f t="shared" si="19"/>
        <v>859970.93415141793</v>
      </c>
      <c r="M83" s="92">
        <v>0.1</v>
      </c>
      <c r="N83" s="92">
        <f t="shared" si="20"/>
        <v>1</v>
      </c>
      <c r="O83" s="92">
        <f t="shared" si="21"/>
        <v>749.77600000000007</v>
      </c>
      <c r="P83" s="99">
        <v>0</v>
      </c>
      <c r="Q83" s="94">
        <f t="shared" si="22"/>
        <v>3078283.7172463587</v>
      </c>
      <c r="R83" s="99">
        <v>0</v>
      </c>
      <c r="S83" s="99">
        <f t="shared" si="16"/>
        <v>3078283.7172463587</v>
      </c>
      <c r="T83" s="94">
        <v>1294346</v>
      </c>
      <c r="U83" s="94">
        <v>135173.89000000001</v>
      </c>
    </row>
    <row r="84" spans="1:21" ht="13.5" customHeight="1" x14ac:dyDescent="0.2">
      <c r="A84" s="95" t="s">
        <v>220</v>
      </c>
      <c r="B84" s="96">
        <v>38003</v>
      </c>
      <c r="C84" s="92">
        <v>168</v>
      </c>
      <c r="D84" s="98">
        <v>0.25</v>
      </c>
      <c r="E84" s="279">
        <f t="shared" si="17"/>
        <v>1</v>
      </c>
      <c r="F84" s="98">
        <f t="shared" si="23"/>
        <v>12</v>
      </c>
      <c r="G84" s="93">
        <f t="shared" si="18"/>
        <v>14</v>
      </c>
      <c r="H84" s="98">
        <f t="shared" si="12"/>
        <v>2.0833333333333332E-2</v>
      </c>
      <c r="I84" s="98">
        <f t="shared" si="13"/>
        <v>14.020833333333334</v>
      </c>
      <c r="J84" s="99">
        <f t="shared" si="14"/>
        <v>81039.335100000011</v>
      </c>
      <c r="K84" s="99">
        <f t="shared" si="15"/>
        <v>1136239.0108812503</v>
      </c>
      <c r="L84" s="99">
        <f t="shared" si="19"/>
        <v>440633.48841974884</v>
      </c>
      <c r="M84" s="92">
        <v>0</v>
      </c>
      <c r="N84" s="92">
        <f t="shared" si="20"/>
        <v>0</v>
      </c>
      <c r="O84" s="92">
        <f t="shared" si="21"/>
        <v>0</v>
      </c>
      <c r="P84" s="99">
        <v>0</v>
      </c>
      <c r="Q84" s="94">
        <f t="shared" si="22"/>
        <v>1576872.4993009991</v>
      </c>
      <c r="R84" s="99">
        <v>0</v>
      </c>
      <c r="S84" s="99">
        <f t="shared" si="16"/>
        <v>1576872.4993009991</v>
      </c>
      <c r="T84" s="94">
        <v>843236</v>
      </c>
      <c r="U84" s="94">
        <v>92943.290000000008</v>
      </c>
    </row>
    <row r="85" spans="1:21" ht="13.5" customHeight="1" x14ac:dyDescent="0.2">
      <c r="A85" s="95" t="s">
        <v>296</v>
      </c>
      <c r="B85" s="96">
        <v>39001</v>
      </c>
      <c r="C85" s="92">
        <v>543</v>
      </c>
      <c r="D85" s="98">
        <v>9.25</v>
      </c>
      <c r="E85" s="279">
        <f t="shared" si="17"/>
        <v>37</v>
      </c>
      <c r="F85" s="98">
        <f t="shared" si="23"/>
        <v>14.5725</v>
      </c>
      <c r="G85" s="93">
        <f t="shared" si="18"/>
        <v>37.261966031909417</v>
      </c>
      <c r="H85" s="98">
        <f t="shared" si="12"/>
        <v>0.63475724824155089</v>
      </c>
      <c r="I85" s="98">
        <f t="shared" si="13"/>
        <v>37.896723280150965</v>
      </c>
      <c r="J85" s="99">
        <f t="shared" si="14"/>
        <v>81039.335100000011</v>
      </c>
      <c r="K85" s="99">
        <f t="shared" si="15"/>
        <v>3071125.2570921257</v>
      </c>
      <c r="L85" s="99">
        <f t="shared" si="19"/>
        <v>1190982.3747003262</v>
      </c>
      <c r="M85" s="92">
        <v>0</v>
      </c>
      <c r="N85" s="92">
        <f t="shared" si="20"/>
        <v>0</v>
      </c>
      <c r="O85" s="92">
        <f t="shared" si="21"/>
        <v>0</v>
      </c>
      <c r="P85" s="99">
        <v>0</v>
      </c>
      <c r="Q85" s="94">
        <f t="shared" si="22"/>
        <v>4262107.6317924522</v>
      </c>
      <c r="R85" s="99">
        <v>0</v>
      </c>
      <c r="S85" s="99">
        <f t="shared" si="16"/>
        <v>4262107.6317924522</v>
      </c>
      <c r="T85" s="94">
        <v>1559765</v>
      </c>
      <c r="U85" s="94">
        <v>307826.61</v>
      </c>
    </row>
    <row r="86" spans="1:21" ht="13.5" customHeight="1" x14ac:dyDescent="0.2">
      <c r="A86" s="95" t="s">
        <v>227</v>
      </c>
      <c r="B86" s="96">
        <v>39002</v>
      </c>
      <c r="C86" s="92">
        <v>1182.55</v>
      </c>
      <c r="D86" s="98">
        <v>10.75</v>
      </c>
      <c r="E86" s="279">
        <f t="shared" si="17"/>
        <v>43</v>
      </c>
      <c r="F86" s="98">
        <f t="shared" si="23"/>
        <v>15</v>
      </c>
      <c r="G86" s="93">
        <f t="shared" si="18"/>
        <v>78.836666666666659</v>
      </c>
      <c r="H86" s="98">
        <f t="shared" si="12"/>
        <v>0.71666666666666667</v>
      </c>
      <c r="I86" s="98">
        <f t="shared" si="13"/>
        <v>79.553333333333327</v>
      </c>
      <c r="J86" s="99">
        <f t="shared" si="14"/>
        <v>81039.335100000011</v>
      </c>
      <c r="K86" s="99">
        <f t="shared" si="15"/>
        <v>6446949.238322</v>
      </c>
      <c r="L86" s="99">
        <f t="shared" si="19"/>
        <v>2500126.9146212717</v>
      </c>
      <c r="M86" s="92">
        <v>0.5</v>
      </c>
      <c r="N86" s="92">
        <f t="shared" si="20"/>
        <v>5</v>
      </c>
      <c r="O86" s="92">
        <f t="shared" si="21"/>
        <v>3748.88</v>
      </c>
      <c r="P86" s="99">
        <v>0</v>
      </c>
      <c r="Q86" s="94">
        <f t="shared" si="22"/>
        <v>8950825.032943273</v>
      </c>
      <c r="R86" s="99">
        <v>0</v>
      </c>
      <c r="S86" s="99">
        <f t="shared" si="16"/>
        <v>8950825.032943273</v>
      </c>
      <c r="T86" s="94">
        <v>4436138</v>
      </c>
      <c r="U86" s="94">
        <v>338316.43000000005</v>
      </c>
    </row>
    <row r="87" spans="1:21" ht="13.5" customHeight="1" x14ac:dyDescent="0.2">
      <c r="A87" s="95" t="s">
        <v>410</v>
      </c>
      <c r="B87" s="96">
        <v>39006</v>
      </c>
      <c r="C87" s="92">
        <v>194</v>
      </c>
      <c r="D87" s="98">
        <v>7.25</v>
      </c>
      <c r="E87" s="279">
        <f t="shared" si="17"/>
        <v>29</v>
      </c>
      <c r="F87" s="98">
        <f t="shared" si="23"/>
        <v>12</v>
      </c>
      <c r="G87" s="93">
        <f t="shared" si="18"/>
        <v>16.166666666666668</v>
      </c>
      <c r="H87" s="98">
        <f t="shared" si="12"/>
        <v>0.60416666666666663</v>
      </c>
      <c r="I87" s="98">
        <f t="shared" si="13"/>
        <v>16.770833333333336</v>
      </c>
      <c r="J87" s="99">
        <f t="shared" si="14"/>
        <v>81039.335100000011</v>
      </c>
      <c r="K87" s="99">
        <f t="shared" si="15"/>
        <v>1359097.1824062504</v>
      </c>
      <c r="L87" s="99">
        <f t="shared" si="19"/>
        <v>527057.88733714388</v>
      </c>
      <c r="M87" s="92">
        <v>0</v>
      </c>
      <c r="N87" s="92">
        <f t="shared" si="20"/>
        <v>0</v>
      </c>
      <c r="O87" s="92">
        <f t="shared" si="21"/>
        <v>0</v>
      </c>
      <c r="P87" s="99">
        <v>0</v>
      </c>
      <c r="Q87" s="94">
        <f t="shared" si="22"/>
        <v>1886155.0697433944</v>
      </c>
      <c r="R87" s="99">
        <v>0</v>
      </c>
      <c r="S87" s="99">
        <f t="shared" si="16"/>
        <v>1886155.0697433944</v>
      </c>
      <c r="T87" s="94">
        <v>901434</v>
      </c>
      <c r="U87" s="94">
        <v>87982.799999999988</v>
      </c>
    </row>
    <row r="88" spans="1:21" ht="13.5" customHeight="1" x14ac:dyDescent="0.2">
      <c r="A88" s="95" t="s">
        <v>222</v>
      </c>
      <c r="B88" s="96">
        <v>40001</v>
      </c>
      <c r="C88" s="92">
        <v>593</v>
      </c>
      <c r="D88" s="98">
        <v>1</v>
      </c>
      <c r="E88" s="279">
        <f t="shared" si="17"/>
        <v>4</v>
      </c>
      <c r="F88" s="98">
        <f t="shared" si="23"/>
        <v>14.9475</v>
      </c>
      <c r="G88" s="93">
        <f t="shared" si="18"/>
        <v>39.672185984278308</v>
      </c>
      <c r="H88" s="98">
        <f t="shared" si="12"/>
        <v>6.6900819535039305E-2</v>
      </c>
      <c r="I88" s="98">
        <f t="shared" si="13"/>
        <v>39.739086803813343</v>
      </c>
      <c r="J88" s="99">
        <f t="shared" si="14"/>
        <v>81039.335100000011</v>
      </c>
      <c r="K88" s="99">
        <f t="shared" si="15"/>
        <v>3220429.1720622177</v>
      </c>
      <c r="L88" s="99">
        <f t="shared" si="19"/>
        <v>1248882.4329257279</v>
      </c>
      <c r="M88" s="92">
        <v>0.1</v>
      </c>
      <c r="N88" s="92">
        <f t="shared" si="20"/>
        <v>1</v>
      </c>
      <c r="O88" s="92">
        <f t="shared" si="21"/>
        <v>749.77600000000007</v>
      </c>
      <c r="P88" s="99">
        <v>0</v>
      </c>
      <c r="Q88" s="94">
        <f t="shared" si="22"/>
        <v>4470061.380987945</v>
      </c>
      <c r="R88" s="99">
        <v>0</v>
      </c>
      <c r="S88" s="99">
        <f t="shared" si="16"/>
        <v>4470061.380987945</v>
      </c>
      <c r="T88" s="94">
        <v>9316464</v>
      </c>
      <c r="U88" s="94">
        <v>292475.98</v>
      </c>
    </row>
    <row r="89" spans="1:21" ht="13.5" customHeight="1" x14ac:dyDescent="0.2">
      <c r="A89" s="95" t="s">
        <v>263</v>
      </c>
      <c r="B89" s="96">
        <v>40002</v>
      </c>
      <c r="C89" s="92">
        <v>2304.0300000000002</v>
      </c>
      <c r="D89" s="98">
        <v>2.5</v>
      </c>
      <c r="E89" s="279">
        <f t="shared" si="17"/>
        <v>10</v>
      </c>
      <c r="F89" s="98">
        <f t="shared" si="23"/>
        <v>15</v>
      </c>
      <c r="G89" s="93">
        <f t="shared" si="18"/>
        <v>153.602</v>
      </c>
      <c r="H89" s="98">
        <f t="shared" si="12"/>
        <v>0.16666666666666666</v>
      </c>
      <c r="I89" s="98">
        <f t="shared" si="13"/>
        <v>153.76866666666666</v>
      </c>
      <c r="J89" s="99">
        <f t="shared" si="14"/>
        <v>81039.335100000011</v>
      </c>
      <c r="K89" s="99">
        <f t="shared" si="15"/>
        <v>12461310.505880201</v>
      </c>
      <c r="L89" s="99">
        <f t="shared" si="19"/>
        <v>4832496.2141803419</v>
      </c>
      <c r="M89" s="92">
        <v>1.1000000000000001</v>
      </c>
      <c r="N89" s="92">
        <f t="shared" si="20"/>
        <v>11</v>
      </c>
      <c r="O89" s="92">
        <f t="shared" si="21"/>
        <v>8247.5360000000001</v>
      </c>
      <c r="P89" s="99">
        <v>0</v>
      </c>
      <c r="Q89" s="94">
        <f t="shared" si="22"/>
        <v>17302054.256060541</v>
      </c>
      <c r="R89" s="99">
        <v>0</v>
      </c>
      <c r="S89" s="99">
        <f t="shared" si="16"/>
        <v>17302054.256060541</v>
      </c>
      <c r="T89" s="94">
        <v>9758106</v>
      </c>
      <c r="U89" s="94">
        <v>717705.94</v>
      </c>
    </row>
    <row r="90" spans="1:21" ht="13.5" customHeight="1" x14ac:dyDescent="0.2">
      <c r="A90" s="95" t="s">
        <v>162</v>
      </c>
      <c r="B90" s="96">
        <v>41001</v>
      </c>
      <c r="C90" s="92">
        <v>875.45</v>
      </c>
      <c r="D90" s="98">
        <v>1.25</v>
      </c>
      <c r="E90" s="279">
        <f t="shared" si="17"/>
        <v>5</v>
      </c>
      <c r="F90" s="98">
        <f t="shared" si="23"/>
        <v>15</v>
      </c>
      <c r="G90" s="93">
        <f t="shared" si="18"/>
        <v>58.363333333333337</v>
      </c>
      <c r="H90" s="98">
        <f t="shared" si="12"/>
        <v>8.3333333333333329E-2</v>
      </c>
      <c r="I90" s="98">
        <f t="shared" si="13"/>
        <v>58.446666666666673</v>
      </c>
      <c r="J90" s="99">
        <f t="shared" si="14"/>
        <v>81039.335100000011</v>
      </c>
      <c r="K90" s="99">
        <f t="shared" si="15"/>
        <v>4736479.0054780012</v>
      </c>
      <c r="L90" s="99">
        <f t="shared" si="19"/>
        <v>1836806.5583243687</v>
      </c>
      <c r="M90" s="92">
        <v>0</v>
      </c>
      <c r="N90" s="92">
        <f t="shared" si="20"/>
        <v>0</v>
      </c>
      <c r="O90" s="92">
        <f t="shared" si="21"/>
        <v>0</v>
      </c>
      <c r="P90" s="99">
        <v>0</v>
      </c>
      <c r="Q90" s="94">
        <f t="shared" si="22"/>
        <v>6573285.5638023699</v>
      </c>
      <c r="R90" s="99">
        <v>0</v>
      </c>
      <c r="S90" s="99">
        <f t="shared" si="16"/>
        <v>6573285.5638023699</v>
      </c>
      <c r="T90" s="94">
        <v>2994239</v>
      </c>
      <c r="U90" s="94">
        <v>417299.79000000004</v>
      </c>
    </row>
    <row r="91" spans="1:21" ht="13.5" customHeight="1" x14ac:dyDescent="0.2">
      <c r="A91" s="95" t="s">
        <v>204</v>
      </c>
      <c r="B91" s="96">
        <v>41002</v>
      </c>
      <c r="C91" s="92">
        <v>6364.85</v>
      </c>
      <c r="D91" s="98">
        <v>39.75</v>
      </c>
      <c r="E91" s="279">
        <f t="shared" si="17"/>
        <v>159</v>
      </c>
      <c r="F91" s="98">
        <f t="shared" si="23"/>
        <v>15</v>
      </c>
      <c r="G91" s="93">
        <f t="shared" si="18"/>
        <v>424.32333333333338</v>
      </c>
      <c r="H91" s="98">
        <f t="shared" si="12"/>
        <v>2.65</v>
      </c>
      <c r="I91" s="98">
        <f t="shared" si="13"/>
        <v>426.97333333333336</v>
      </c>
      <c r="J91" s="99">
        <f t="shared" si="14"/>
        <v>81039.335100000011</v>
      </c>
      <c r="K91" s="99">
        <f t="shared" si="15"/>
        <v>34601635.038764007</v>
      </c>
      <c r="L91" s="99">
        <f t="shared" si="19"/>
        <v>13418514.068032682</v>
      </c>
      <c r="M91" s="92">
        <v>0.70000000000000007</v>
      </c>
      <c r="N91" s="92">
        <f t="shared" si="20"/>
        <v>7</v>
      </c>
      <c r="O91" s="92">
        <f t="shared" si="21"/>
        <v>5248.4320000000007</v>
      </c>
      <c r="P91" s="99">
        <v>0</v>
      </c>
      <c r="Q91" s="94">
        <f t="shared" si="22"/>
        <v>48025397.538796686</v>
      </c>
      <c r="R91" s="99">
        <v>0</v>
      </c>
      <c r="S91" s="99">
        <f t="shared" si="16"/>
        <v>48025397.538796686</v>
      </c>
      <c r="T91" s="94">
        <v>20064536</v>
      </c>
      <c r="U91" s="94">
        <v>1287643.17</v>
      </c>
    </row>
    <row r="92" spans="1:21" ht="13.5" customHeight="1" x14ac:dyDescent="0.2">
      <c r="A92" s="95" t="s">
        <v>224</v>
      </c>
      <c r="B92" s="96">
        <v>41004</v>
      </c>
      <c r="C92" s="92">
        <v>1142.01</v>
      </c>
      <c r="D92" s="98">
        <v>2</v>
      </c>
      <c r="E92" s="279">
        <f t="shared" si="17"/>
        <v>8</v>
      </c>
      <c r="F92" s="98">
        <f t="shared" si="23"/>
        <v>15</v>
      </c>
      <c r="G92" s="93">
        <f t="shared" si="18"/>
        <v>76.134</v>
      </c>
      <c r="H92" s="98">
        <f t="shared" si="12"/>
        <v>0.13333333333333333</v>
      </c>
      <c r="I92" s="98">
        <f t="shared" si="13"/>
        <v>76.26733333333334</v>
      </c>
      <c r="J92" s="99">
        <f t="shared" si="14"/>
        <v>81039.335100000011</v>
      </c>
      <c r="K92" s="99">
        <f t="shared" si="15"/>
        <v>6180653.9831834016</v>
      </c>
      <c r="L92" s="99">
        <f t="shared" si="19"/>
        <v>2396857.614678523</v>
      </c>
      <c r="M92" s="92">
        <v>0.2</v>
      </c>
      <c r="N92" s="92">
        <f t="shared" si="20"/>
        <v>2</v>
      </c>
      <c r="O92" s="92">
        <f t="shared" si="21"/>
        <v>1499.5520000000001</v>
      </c>
      <c r="P92" s="99">
        <v>0</v>
      </c>
      <c r="Q92" s="94">
        <f t="shared" si="22"/>
        <v>8579011.1498619244</v>
      </c>
      <c r="R92" s="99">
        <v>0</v>
      </c>
      <c r="S92" s="99">
        <f t="shared" si="16"/>
        <v>8579011.1498619244</v>
      </c>
      <c r="T92" s="94">
        <v>3192782</v>
      </c>
      <c r="U92" s="94">
        <v>470882.89999999997</v>
      </c>
    </row>
    <row r="93" spans="1:21" ht="13.5" customHeight="1" x14ac:dyDescent="0.2">
      <c r="A93" s="95" t="s">
        <v>266</v>
      </c>
      <c r="B93" s="96">
        <v>41005</v>
      </c>
      <c r="C93" s="92">
        <v>2536.39</v>
      </c>
      <c r="D93" s="98">
        <v>17.75</v>
      </c>
      <c r="E93" s="279">
        <f t="shared" si="17"/>
        <v>71</v>
      </c>
      <c r="F93" s="98">
        <f t="shared" si="23"/>
        <v>15</v>
      </c>
      <c r="G93" s="93">
        <f t="shared" si="18"/>
        <v>169.09266666666664</v>
      </c>
      <c r="H93" s="98">
        <f t="shared" si="12"/>
        <v>1.1833333333333333</v>
      </c>
      <c r="I93" s="98">
        <f t="shared" si="13"/>
        <v>170.27599999999998</v>
      </c>
      <c r="J93" s="99">
        <f t="shared" si="14"/>
        <v>81039.335100000011</v>
      </c>
      <c r="K93" s="99">
        <f t="shared" si="15"/>
        <v>13799053.8234876</v>
      </c>
      <c r="L93" s="99">
        <f t="shared" si="19"/>
        <v>5351273.0727484915</v>
      </c>
      <c r="M93" s="92">
        <v>0.2</v>
      </c>
      <c r="N93" s="92">
        <f t="shared" si="20"/>
        <v>2</v>
      </c>
      <c r="O93" s="92">
        <f t="shared" si="21"/>
        <v>1499.5520000000001</v>
      </c>
      <c r="P93" s="99">
        <v>0</v>
      </c>
      <c r="Q93" s="94">
        <f t="shared" si="22"/>
        <v>19151826.448236093</v>
      </c>
      <c r="R93" s="99">
        <v>0</v>
      </c>
      <c r="S93" s="99">
        <f t="shared" si="16"/>
        <v>19151826.448236093</v>
      </c>
      <c r="T93" s="94">
        <v>5446989</v>
      </c>
      <c r="U93" s="94">
        <v>435923.72</v>
      </c>
    </row>
    <row r="94" spans="1:21" ht="13.5" customHeight="1" x14ac:dyDescent="0.2">
      <c r="A94" s="95" t="s">
        <v>226</v>
      </c>
      <c r="B94" s="96">
        <v>42001</v>
      </c>
      <c r="C94" s="92">
        <v>312</v>
      </c>
      <c r="D94" s="98">
        <v>0.75</v>
      </c>
      <c r="E94" s="279">
        <f t="shared" si="17"/>
        <v>3</v>
      </c>
      <c r="F94" s="98">
        <f t="shared" si="23"/>
        <v>12.84</v>
      </c>
      <c r="G94" s="93">
        <f t="shared" si="18"/>
        <v>24.299065420560748</v>
      </c>
      <c r="H94" s="98">
        <f t="shared" si="12"/>
        <v>5.8411214953271028E-2</v>
      </c>
      <c r="I94" s="98">
        <f t="shared" si="13"/>
        <v>24.357476635514018</v>
      </c>
      <c r="J94" s="99">
        <f t="shared" si="14"/>
        <v>81039.335100000011</v>
      </c>
      <c r="K94" s="99">
        <f t="shared" si="15"/>
        <v>1973913.7112558414</v>
      </c>
      <c r="L94" s="99">
        <f t="shared" si="19"/>
        <v>765483.7372250153</v>
      </c>
      <c r="M94" s="92">
        <v>0</v>
      </c>
      <c r="N94" s="92">
        <f t="shared" si="20"/>
        <v>0</v>
      </c>
      <c r="O94" s="92">
        <f t="shared" si="21"/>
        <v>0</v>
      </c>
      <c r="P94" s="99">
        <v>0</v>
      </c>
      <c r="Q94" s="94">
        <f t="shared" si="22"/>
        <v>2739397.4484808566</v>
      </c>
      <c r="R94" s="99">
        <v>0</v>
      </c>
      <c r="S94" s="99">
        <f t="shared" si="16"/>
        <v>2739397.4484808566</v>
      </c>
      <c r="T94" s="94">
        <v>1180183</v>
      </c>
      <c r="U94" s="94">
        <v>307761.44999999995</v>
      </c>
    </row>
    <row r="95" spans="1:21" ht="13.5" customHeight="1" x14ac:dyDescent="0.2">
      <c r="A95" s="95" t="s">
        <v>161</v>
      </c>
      <c r="B95" s="96">
        <v>43001</v>
      </c>
      <c r="C95" s="92">
        <v>299.14</v>
      </c>
      <c r="D95" s="98">
        <v>0.5</v>
      </c>
      <c r="E95" s="279">
        <f t="shared" si="17"/>
        <v>2</v>
      </c>
      <c r="F95" s="98">
        <f t="shared" si="23"/>
        <v>12.743549999999999</v>
      </c>
      <c r="G95" s="93">
        <f t="shared" si="18"/>
        <v>23.473835783592484</v>
      </c>
      <c r="H95" s="98">
        <f t="shared" si="12"/>
        <v>3.9235534839193162E-2</v>
      </c>
      <c r="I95" s="98">
        <f t="shared" si="13"/>
        <v>23.513071318431678</v>
      </c>
      <c r="J95" s="99">
        <f t="shared" si="14"/>
        <v>81039.335100000011</v>
      </c>
      <c r="K95" s="99">
        <f t="shared" si="15"/>
        <v>1905483.6658045838</v>
      </c>
      <c r="L95" s="99">
        <f t="shared" si="19"/>
        <v>738946.56559901754</v>
      </c>
      <c r="M95" s="92">
        <v>0</v>
      </c>
      <c r="N95" s="92">
        <f t="shared" si="20"/>
        <v>0</v>
      </c>
      <c r="O95" s="92">
        <f t="shared" si="21"/>
        <v>0</v>
      </c>
      <c r="P95" s="99">
        <v>0</v>
      </c>
      <c r="Q95" s="94">
        <f t="shared" si="22"/>
        <v>2644430.2314036014</v>
      </c>
      <c r="R95" s="99">
        <v>0</v>
      </c>
      <c r="S95" s="99">
        <f t="shared" si="16"/>
        <v>2644430.2314036014</v>
      </c>
      <c r="T95" s="94">
        <v>615651</v>
      </c>
      <c r="U95" s="94">
        <v>104743.56</v>
      </c>
    </row>
    <row r="96" spans="1:21" ht="13.5" customHeight="1" x14ac:dyDescent="0.2">
      <c r="A96" s="95" t="s">
        <v>238</v>
      </c>
      <c r="B96" s="96">
        <v>43002</v>
      </c>
      <c r="C96" s="92">
        <v>252</v>
      </c>
      <c r="D96" s="98">
        <v>2.5</v>
      </c>
      <c r="E96" s="279">
        <f t="shared" si="17"/>
        <v>10</v>
      </c>
      <c r="F96" s="98">
        <f t="shared" si="23"/>
        <v>12.39</v>
      </c>
      <c r="G96" s="93">
        <f t="shared" si="18"/>
        <v>20.338983050847457</v>
      </c>
      <c r="H96" s="98">
        <f t="shared" si="12"/>
        <v>0.20177562550443906</v>
      </c>
      <c r="I96" s="98">
        <f t="shared" si="13"/>
        <v>20.540758676351896</v>
      </c>
      <c r="J96" s="99">
        <f t="shared" si="14"/>
        <v>81039.335100000011</v>
      </c>
      <c r="K96" s="99">
        <f t="shared" si="15"/>
        <v>1664609.4255811139</v>
      </c>
      <c r="L96" s="99">
        <f t="shared" si="19"/>
        <v>645535.53524035588</v>
      </c>
      <c r="M96" s="92">
        <v>0</v>
      </c>
      <c r="N96" s="92">
        <f t="shared" si="20"/>
        <v>0</v>
      </c>
      <c r="O96" s="92">
        <f t="shared" si="21"/>
        <v>0</v>
      </c>
      <c r="P96" s="99">
        <v>0</v>
      </c>
      <c r="Q96" s="94">
        <f t="shared" si="22"/>
        <v>2310144.9608214698</v>
      </c>
      <c r="R96" s="99">
        <v>0</v>
      </c>
      <c r="S96" s="99">
        <f t="shared" si="16"/>
        <v>2310144.9608214698</v>
      </c>
      <c r="T96" s="94">
        <v>507860</v>
      </c>
      <c r="U96" s="94">
        <v>110100.63</v>
      </c>
    </row>
    <row r="97" spans="1:21" ht="13.5" customHeight="1" x14ac:dyDescent="0.2">
      <c r="A97" s="95" t="s">
        <v>229</v>
      </c>
      <c r="B97" s="96">
        <v>43007</v>
      </c>
      <c r="C97" s="92">
        <v>415.76</v>
      </c>
      <c r="D97" s="98">
        <v>1.75</v>
      </c>
      <c r="E97" s="279">
        <f t="shared" si="17"/>
        <v>7</v>
      </c>
      <c r="F97" s="98">
        <f t="shared" si="23"/>
        <v>13.6182</v>
      </c>
      <c r="G97" s="93">
        <f t="shared" si="18"/>
        <v>30.529732270050374</v>
      </c>
      <c r="H97" s="98">
        <f t="shared" si="12"/>
        <v>0.12850450132910371</v>
      </c>
      <c r="I97" s="98">
        <f t="shared" si="13"/>
        <v>30.658236771379478</v>
      </c>
      <c r="J97" s="99">
        <f t="shared" si="14"/>
        <v>81039.335100000011</v>
      </c>
      <c r="K97" s="99">
        <f t="shared" si="15"/>
        <v>2484523.1232909639</v>
      </c>
      <c r="L97" s="99">
        <f t="shared" si="19"/>
        <v>963498.06721223576</v>
      </c>
      <c r="M97" s="92">
        <v>0.1</v>
      </c>
      <c r="N97" s="92">
        <f t="shared" si="20"/>
        <v>1</v>
      </c>
      <c r="O97" s="92">
        <f t="shared" si="21"/>
        <v>749.77600000000007</v>
      </c>
      <c r="P97" s="99">
        <v>0</v>
      </c>
      <c r="Q97" s="94">
        <f t="shared" si="22"/>
        <v>3448770.9665031997</v>
      </c>
      <c r="R97" s="99">
        <v>0</v>
      </c>
      <c r="S97" s="99">
        <f t="shared" si="16"/>
        <v>3448770.9665031997</v>
      </c>
      <c r="T97" s="94">
        <v>1032815</v>
      </c>
      <c r="U97" s="94">
        <v>222659.49000000002</v>
      </c>
    </row>
    <row r="98" spans="1:21" ht="13.5" customHeight="1" x14ac:dyDescent="0.2">
      <c r="A98" s="95" t="s">
        <v>188</v>
      </c>
      <c r="B98" s="96">
        <v>44001</v>
      </c>
      <c r="C98" s="92">
        <v>169.4</v>
      </c>
      <c r="D98" s="98">
        <v>0</v>
      </c>
      <c r="E98" s="279">
        <f t="shared" si="17"/>
        <v>0</v>
      </c>
      <c r="F98" s="98">
        <f t="shared" si="23"/>
        <v>12</v>
      </c>
      <c r="G98" s="93">
        <f t="shared" si="18"/>
        <v>14.116666666666667</v>
      </c>
      <c r="H98" s="98">
        <f t="shared" si="12"/>
        <v>0</v>
      </c>
      <c r="I98" s="98">
        <f t="shared" si="13"/>
        <v>14.116666666666667</v>
      </c>
      <c r="J98" s="99">
        <f t="shared" si="14"/>
        <v>81039.335100000011</v>
      </c>
      <c r="K98" s="99">
        <f t="shared" si="15"/>
        <v>1144005.2804950003</v>
      </c>
      <c r="L98" s="99">
        <f t="shared" si="19"/>
        <v>443645.24777596112</v>
      </c>
      <c r="M98" s="92">
        <v>0.2</v>
      </c>
      <c r="N98" s="92">
        <f t="shared" si="20"/>
        <v>2</v>
      </c>
      <c r="O98" s="92">
        <f t="shared" si="21"/>
        <v>1499.5520000000001</v>
      </c>
      <c r="P98" s="99">
        <v>0</v>
      </c>
      <c r="Q98" s="94">
        <f t="shared" si="22"/>
        <v>1589150.0802709614</v>
      </c>
      <c r="R98" s="99">
        <v>0</v>
      </c>
      <c r="S98" s="99">
        <f t="shared" si="16"/>
        <v>1589150.0802709614</v>
      </c>
      <c r="T98" s="94">
        <v>942704</v>
      </c>
      <c r="U98" s="94">
        <v>60396.939999999995</v>
      </c>
    </row>
    <row r="99" spans="1:21" ht="14.25" customHeight="1" x14ac:dyDescent="0.2">
      <c r="A99" s="95" t="s">
        <v>225</v>
      </c>
      <c r="B99" s="96">
        <v>44002</v>
      </c>
      <c r="C99" s="92">
        <v>193</v>
      </c>
      <c r="D99" s="98">
        <v>4.5</v>
      </c>
      <c r="E99" s="279">
        <f t="shared" si="17"/>
        <v>18</v>
      </c>
      <c r="F99" s="98">
        <f t="shared" si="23"/>
        <v>12</v>
      </c>
      <c r="G99" s="93">
        <f t="shared" si="18"/>
        <v>16.083333333333332</v>
      </c>
      <c r="H99" s="98">
        <f t="shared" si="12"/>
        <v>0.375</v>
      </c>
      <c r="I99" s="98">
        <f t="shared" si="13"/>
        <v>16.458333333333332</v>
      </c>
      <c r="J99" s="99">
        <f t="shared" si="14"/>
        <v>81039.335100000011</v>
      </c>
      <c r="K99" s="99">
        <f t="shared" si="15"/>
        <v>1333772.3901875</v>
      </c>
      <c r="L99" s="99">
        <f t="shared" si="19"/>
        <v>517236.93291471247</v>
      </c>
      <c r="M99" s="92">
        <v>0</v>
      </c>
      <c r="N99" s="92">
        <f t="shared" si="20"/>
        <v>0</v>
      </c>
      <c r="O99" s="92">
        <f t="shared" si="21"/>
        <v>0</v>
      </c>
      <c r="P99" s="99">
        <v>0</v>
      </c>
      <c r="Q99" s="94">
        <f t="shared" si="22"/>
        <v>1851009.3231022125</v>
      </c>
      <c r="R99" s="99">
        <v>0</v>
      </c>
      <c r="S99" s="99">
        <f t="shared" si="16"/>
        <v>1851009.3231022125</v>
      </c>
      <c r="T99" s="94">
        <v>690460</v>
      </c>
      <c r="U99" s="94">
        <v>230734.94</v>
      </c>
    </row>
    <row r="100" spans="1:21" ht="13.5" customHeight="1" x14ac:dyDescent="0.2">
      <c r="A100" s="95" t="s">
        <v>158</v>
      </c>
      <c r="B100" s="96">
        <v>45004</v>
      </c>
      <c r="C100" s="92">
        <v>479</v>
      </c>
      <c r="D100" s="98">
        <v>12.75</v>
      </c>
      <c r="E100" s="279">
        <f t="shared" si="17"/>
        <v>51</v>
      </c>
      <c r="F100" s="98">
        <f t="shared" si="23"/>
        <v>14.092499999999999</v>
      </c>
      <c r="G100" s="93">
        <f t="shared" si="18"/>
        <v>33.989710839098812</v>
      </c>
      <c r="H100" s="98">
        <f t="shared" si="12"/>
        <v>0.90473656200106445</v>
      </c>
      <c r="I100" s="98">
        <f t="shared" si="13"/>
        <v>34.894447401099875</v>
      </c>
      <c r="J100" s="99">
        <f t="shared" si="14"/>
        <v>81039.335100000011</v>
      </c>
      <c r="K100" s="99">
        <f t="shared" si="15"/>
        <v>2827822.8160670572</v>
      </c>
      <c r="L100" s="99">
        <f t="shared" si="19"/>
        <v>1096629.6880708048</v>
      </c>
      <c r="M100" s="92">
        <v>0.2</v>
      </c>
      <c r="N100" s="92">
        <f t="shared" si="20"/>
        <v>2</v>
      </c>
      <c r="O100" s="92">
        <f t="shared" si="21"/>
        <v>1499.5520000000001</v>
      </c>
      <c r="P100" s="99">
        <v>0</v>
      </c>
      <c r="Q100" s="94">
        <f t="shared" si="22"/>
        <v>3925952.0561378621</v>
      </c>
      <c r="R100" s="99">
        <v>0</v>
      </c>
      <c r="S100" s="99">
        <f t="shared" si="16"/>
        <v>3925952.0561378621</v>
      </c>
      <c r="T100" s="94">
        <v>2016037</v>
      </c>
      <c r="U100" s="94">
        <v>356481.42000000004</v>
      </c>
    </row>
    <row r="101" spans="1:21" ht="13.5" customHeight="1" x14ac:dyDescent="0.2">
      <c r="A101" s="95" t="s">
        <v>221</v>
      </c>
      <c r="B101" s="96">
        <v>45005</v>
      </c>
      <c r="C101" s="92">
        <v>226.58</v>
      </c>
      <c r="D101" s="98">
        <v>5.5</v>
      </c>
      <c r="E101" s="279">
        <f t="shared" si="17"/>
        <v>22</v>
      </c>
      <c r="F101" s="98">
        <f t="shared" si="23"/>
        <v>12.199350000000001</v>
      </c>
      <c r="G101" s="93">
        <f t="shared" si="18"/>
        <v>18.573120699053639</v>
      </c>
      <c r="H101" s="98">
        <f t="shared" si="12"/>
        <v>0.45084369249181305</v>
      </c>
      <c r="I101" s="98">
        <f t="shared" si="13"/>
        <v>19.023964391545451</v>
      </c>
      <c r="J101" s="99">
        <f t="shared" si="14"/>
        <v>81039.335100000011</v>
      </c>
      <c r="K101" s="99">
        <f t="shared" si="15"/>
        <v>1541689.4252569196</v>
      </c>
      <c r="L101" s="99">
        <f t="shared" si="19"/>
        <v>597867.15911463334</v>
      </c>
      <c r="M101" s="92">
        <v>0</v>
      </c>
      <c r="N101" s="92">
        <f t="shared" si="20"/>
        <v>0</v>
      </c>
      <c r="O101" s="92">
        <f t="shared" si="21"/>
        <v>0</v>
      </c>
      <c r="P101" s="99">
        <v>0</v>
      </c>
      <c r="Q101" s="94">
        <f t="shared" si="22"/>
        <v>2139556.5843715528</v>
      </c>
      <c r="R101" s="99">
        <v>0</v>
      </c>
      <c r="S101" s="99">
        <f t="shared" si="16"/>
        <v>2139556.5843715528</v>
      </c>
      <c r="T101" s="94">
        <v>943208</v>
      </c>
      <c r="U101" s="94">
        <v>125639.15</v>
      </c>
    </row>
    <row r="102" spans="1:21" ht="13.5" customHeight="1" x14ac:dyDescent="0.2">
      <c r="A102" s="95" t="s">
        <v>232</v>
      </c>
      <c r="B102" s="96">
        <v>46001</v>
      </c>
      <c r="C102" s="92">
        <v>2947.56</v>
      </c>
      <c r="D102" s="98">
        <v>2</v>
      </c>
      <c r="E102" s="279">
        <f t="shared" si="17"/>
        <v>8</v>
      </c>
      <c r="F102" s="98">
        <f t="shared" si="23"/>
        <v>15</v>
      </c>
      <c r="G102" s="93">
        <f t="shared" si="18"/>
        <v>196.50399999999999</v>
      </c>
      <c r="H102" s="98">
        <f t="shared" si="12"/>
        <v>0.13333333333333333</v>
      </c>
      <c r="I102" s="98">
        <f t="shared" si="13"/>
        <v>196.63733333333332</v>
      </c>
      <c r="J102" s="99">
        <f t="shared" si="14"/>
        <v>81039.335100000011</v>
      </c>
      <c r="K102" s="99">
        <f t="shared" si="15"/>
        <v>15935358.7491704</v>
      </c>
      <c r="L102" s="99">
        <f t="shared" si="19"/>
        <v>6179732.1229282804</v>
      </c>
      <c r="M102" s="92">
        <v>0.70000000000000007</v>
      </c>
      <c r="N102" s="92">
        <f t="shared" si="20"/>
        <v>7</v>
      </c>
      <c r="O102" s="92">
        <f t="shared" si="21"/>
        <v>5248.4320000000007</v>
      </c>
      <c r="P102" s="99">
        <v>0</v>
      </c>
      <c r="Q102" s="94">
        <f t="shared" si="22"/>
        <v>22120339.304098681</v>
      </c>
      <c r="R102" s="99">
        <v>0</v>
      </c>
      <c r="S102" s="99">
        <f t="shared" si="16"/>
        <v>22120339.304098681</v>
      </c>
      <c r="T102" s="94">
        <v>9724446</v>
      </c>
      <c r="U102" s="94">
        <v>719343.3</v>
      </c>
    </row>
    <row r="103" spans="1:21" ht="13.5" customHeight="1" x14ac:dyDescent="0.2">
      <c r="A103" s="95" t="s">
        <v>189</v>
      </c>
      <c r="B103" s="96">
        <v>46002</v>
      </c>
      <c r="C103" s="92">
        <v>182.8</v>
      </c>
      <c r="D103" s="98">
        <v>0</v>
      </c>
      <c r="E103" s="279">
        <f t="shared" si="17"/>
        <v>0</v>
      </c>
      <c r="F103" s="98">
        <f t="shared" si="23"/>
        <v>12</v>
      </c>
      <c r="G103" s="93">
        <f t="shared" si="18"/>
        <v>15.233333333333334</v>
      </c>
      <c r="H103" s="98">
        <f t="shared" si="12"/>
        <v>0</v>
      </c>
      <c r="I103" s="98">
        <f t="shared" si="13"/>
        <v>15.233333333333334</v>
      </c>
      <c r="J103" s="99">
        <f t="shared" si="14"/>
        <v>81039.335100000011</v>
      </c>
      <c r="K103" s="99">
        <f t="shared" si="15"/>
        <v>1234499.2046900003</v>
      </c>
      <c r="L103" s="99">
        <f t="shared" si="19"/>
        <v>478738.79157878208</v>
      </c>
      <c r="M103" s="92">
        <v>0.1</v>
      </c>
      <c r="N103" s="92">
        <f t="shared" si="20"/>
        <v>1</v>
      </c>
      <c r="O103" s="92">
        <f t="shared" si="21"/>
        <v>749.77600000000007</v>
      </c>
      <c r="P103" s="99">
        <v>0</v>
      </c>
      <c r="Q103" s="94">
        <f t="shared" si="22"/>
        <v>1713987.7722687824</v>
      </c>
      <c r="R103" s="99">
        <v>0</v>
      </c>
      <c r="S103" s="99">
        <f t="shared" si="16"/>
        <v>1713987.7722687824</v>
      </c>
      <c r="T103" s="94">
        <v>309014</v>
      </c>
      <c r="U103" s="94">
        <v>48665.58</v>
      </c>
    </row>
    <row r="104" spans="1:21" ht="13.5" customHeight="1" x14ac:dyDescent="0.2">
      <c r="A104" s="95" t="s">
        <v>283</v>
      </c>
      <c r="B104" s="96">
        <v>47001</v>
      </c>
      <c r="C104" s="92">
        <v>380</v>
      </c>
      <c r="D104" s="98">
        <v>0</v>
      </c>
      <c r="E104" s="279">
        <f t="shared" si="17"/>
        <v>0</v>
      </c>
      <c r="F104" s="98">
        <f t="shared" si="23"/>
        <v>13.35</v>
      </c>
      <c r="G104" s="93">
        <f t="shared" si="18"/>
        <v>28.464419475655433</v>
      </c>
      <c r="H104" s="98">
        <f t="shared" si="12"/>
        <v>0</v>
      </c>
      <c r="I104" s="98">
        <f t="shared" si="13"/>
        <v>28.464419475655433</v>
      </c>
      <c r="J104" s="99">
        <f t="shared" si="14"/>
        <v>81039.335100000011</v>
      </c>
      <c r="K104" s="99">
        <f t="shared" si="15"/>
        <v>2306737.6283146073</v>
      </c>
      <c r="L104" s="99">
        <f t="shared" si="19"/>
        <v>894552.85226040462</v>
      </c>
      <c r="M104" s="92">
        <v>0</v>
      </c>
      <c r="N104" s="92">
        <f t="shared" si="20"/>
        <v>0</v>
      </c>
      <c r="O104" s="92">
        <f t="shared" si="21"/>
        <v>0</v>
      </c>
      <c r="P104" s="99">
        <v>0</v>
      </c>
      <c r="Q104" s="94">
        <f t="shared" si="22"/>
        <v>3201290.480575012</v>
      </c>
      <c r="R104" s="99">
        <v>0</v>
      </c>
      <c r="S104" s="99">
        <f t="shared" si="16"/>
        <v>3201290.480575012</v>
      </c>
      <c r="T104" s="94">
        <v>412239</v>
      </c>
      <c r="U104" s="94">
        <v>79558.06</v>
      </c>
    </row>
    <row r="105" spans="1:21" ht="13.5" customHeight="1" x14ac:dyDescent="0.2">
      <c r="A105" s="95" t="s">
        <v>212</v>
      </c>
      <c r="B105" s="96">
        <v>48003</v>
      </c>
      <c r="C105" s="92">
        <v>334</v>
      </c>
      <c r="D105" s="98">
        <v>2</v>
      </c>
      <c r="E105" s="279">
        <f t="shared" si="17"/>
        <v>8</v>
      </c>
      <c r="F105" s="98">
        <f t="shared" si="23"/>
        <v>13.004999999999999</v>
      </c>
      <c r="G105" s="93">
        <f t="shared" si="18"/>
        <v>25.68242983467897</v>
      </c>
      <c r="H105" s="98">
        <f t="shared" si="12"/>
        <v>0.15378700499807768</v>
      </c>
      <c r="I105" s="98">
        <f t="shared" si="13"/>
        <v>25.836216839677046</v>
      </c>
      <c r="J105" s="99">
        <f t="shared" si="14"/>
        <v>81039.335100000011</v>
      </c>
      <c r="K105" s="99">
        <f t="shared" si="15"/>
        <v>2093749.8341868515</v>
      </c>
      <c r="L105" s="99">
        <f t="shared" si="19"/>
        <v>811956.18569766101</v>
      </c>
      <c r="M105" s="92">
        <v>0</v>
      </c>
      <c r="N105" s="92">
        <f t="shared" si="20"/>
        <v>0</v>
      </c>
      <c r="O105" s="92">
        <f t="shared" si="21"/>
        <v>0</v>
      </c>
      <c r="P105" s="99">
        <v>0</v>
      </c>
      <c r="Q105" s="94">
        <f t="shared" si="22"/>
        <v>2905706.0198845128</v>
      </c>
      <c r="R105" s="99">
        <v>0</v>
      </c>
      <c r="S105" s="99">
        <f t="shared" si="16"/>
        <v>2905706.0198845128</v>
      </c>
      <c r="T105" s="94">
        <v>1571692</v>
      </c>
      <c r="U105" s="94">
        <v>432278.37000000005</v>
      </c>
    </row>
    <row r="106" spans="1:21" ht="13.5" customHeight="1" x14ac:dyDescent="0.2">
      <c r="A106" s="95" t="s">
        <v>148</v>
      </c>
      <c r="B106" s="96">
        <v>49001</v>
      </c>
      <c r="C106" s="92">
        <v>548.04999999999995</v>
      </c>
      <c r="D106" s="98">
        <v>1.25</v>
      </c>
      <c r="E106" s="279">
        <f t="shared" si="17"/>
        <v>5</v>
      </c>
      <c r="F106" s="98">
        <f t="shared" si="23"/>
        <v>14.610374999999999</v>
      </c>
      <c r="G106" s="93">
        <f t="shared" si="18"/>
        <v>37.511015288793068</v>
      </c>
      <c r="H106" s="98">
        <f t="shared" si="12"/>
        <v>8.5555641111196665E-2</v>
      </c>
      <c r="I106" s="98">
        <f t="shared" si="13"/>
        <v>37.596570929904267</v>
      </c>
      <c r="J106" s="99">
        <f t="shared" si="14"/>
        <v>81039.335100000011</v>
      </c>
      <c r="K106" s="99">
        <f t="shared" si="15"/>
        <v>3046801.110199431</v>
      </c>
      <c r="L106" s="99">
        <f t="shared" si="19"/>
        <v>1181549.4705353393</v>
      </c>
      <c r="M106" s="92">
        <v>0.1</v>
      </c>
      <c r="N106" s="92">
        <f t="shared" si="20"/>
        <v>1</v>
      </c>
      <c r="O106" s="92">
        <f t="shared" si="21"/>
        <v>749.77600000000007</v>
      </c>
      <c r="P106" s="99">
        <v>0</v>
      </c>
      <c r="Q106" s="94">
        <f t="shared" si="22"/>
        <v>4229100.3567347704</v>
      </c>
      <c r="R106" s="99">
        <v>0</v>
      </c>
      <c r="S106" s="99">
        <f t="shared" si="16"/>
        <v>4229100.3567347704</v>
      </c>
      <c r="T106" s="94">
        <v>989039</v>
      </c>
      <c r="U106" s="94">
        <v>157764.40999999997</v>
      </c>
    </row>
    <row r="107" spans="1:21" ht="13.5" customHeight="1" x14ac:dyDescent="0.2">
      <c r="A107" s="95" t="s">
        <v>156</v>
      </c>
      <c r="B107" s="96">
        <v>49002</v>
      </c>
      <c r="C107" s="92">
        <v>5210.59</v>
      </c>
      <c r="D107" s="98">
        <v>32</v>
      </c>
      <c r="E107" s="279">
        <f t="shared" si="17"/>
        <v>128</v>
      </c>
      <c r="F107" s="98">
        <f t="shared" si="23"/>
        <v>15</v>
      </c>
      <c r="G107" s="93">
        <f t="shared" si="18"/>
        <v>347.3726666666667</v>
      </c>
      <c r="H107" s="98">
        <f t="shared" si="12"/>
        <v>2.1333333333333333</v>
      </c>
      <c r="I107" s="98">
        <f t="shared" si="13"/>
        <v>349.50600000000003</v>
      </c>
      <c r="J107" s="99">
        <f t="shared" si="14"/>
        <v>81039.335100000011</v>
      </c>
      <c r="K107" s="99">
        <f t="shared" si="15"/>
        <v>28323733.853460606</v>
      </c>
      <c r="L107" s="99">
        <f t="shared" si="19"/>
        <v>10983943.988372022</v>
      </c>
      <c r="M107" s="92">
        <v>0.4</v>
      </c>
      <c r="N107" s="92">
        <f t="shared" si="20"/>
        <v>4</v>
      </c>
      <c r="O107" s="92">
        <f t="shared" si="21"/>
        <v>2999.1040000000003</v>
      </c>
      <c r="P107" s="99">
        <v>0</v>
      </c>
      <c r="Q107" s="94">
        <f t="shared" si="22"/>
        <v>39310676.945832632</v>
      </c>
      <c r="R107" s="99">
        <v>0</v>
      </c>
      <c r="S107" s="99">
        <f t="shared" si="16"/>
        <v>39310676.945832632</v>
      </c>
      <c r="T107" s="94">
        <v>13300655</v>
      </c>
      <c r="U107" s="94">
        <v>1755222.45</v>
      </c>
    </row>
    <row r="108" spans="1:21" ht="13.5" customHeight="1" x14ac:dyDescent="0.2">
      <c r="A108" s="95" t="s">
        <v>174</v>
      </c>
      <c r="B108" s="96">
        <v>49003</v>
      </c>
      <c r="C108" s="92">
        <v>941.57</v>
      </c>
      <c r="D108" s="98">
        <v>3.5</v>
      </c>
      <c r="E108" s="279">
        <f t="shared" si="17"/>
        <v>14</v>
      </c>
      <c r="F108" s="98">
        <f t="shared" si="23"/>
        <v>15</v>
      </c>
      <c r="G108" s="93">
        <f t="shared" si="18"/>
        <v>62.771333333333338</v>
      </c>
      <c r="H108" s="98">
        <f t="shared" si="12"/>
        <v>0.23333333333333334</v>
      </c>
      <c r="I108" s="98">
        <f t="shared" si="13"/>
        <v>63.004666666666672</v>
      </c>
      <c r="J108" s="99">
        <f t="shared" si="14"/>
        <v>81039.335100000011</v>
      </c>
      <c r="K108" s="99">
        <f t="shared" si="15"/>
        <v>5105856.2948638014</v>
      </c>
      <c r="L108" s="99">
        <f t="shared" si="19"/>
        <v>1980051.071148182</v>
      </c>
      <c r="M108" s="92">
        <v>0.2</v>
      </c>
      <c r="N108" s="92">
        <f t="shared" si="20"/>
        <v>2</v>
      </c>
      <c r="O108" s="92">
        <f t="shared" si="21"/>
        <v>1499.5520000000001</v>
      </c>
      <c r="P108" s="99">
        <v>0</v>
      </c>
      <c r="Q108" s="94">
        <f t="shared" si="22"/>
        <v>7087406.9180119839</v>
      </c>
      <c r="R108" s="99">
        <v>0</v>
      </c>
      <c r="S108" s="99">
        <f t="shared" si="16"/>
        <v>7087406.9180119839</v>
      </c>
      <c r="T108" s="94">
        <v>2528021</v>
      </c>
      <c r="U108" s="94">
        <v>459709.99</v>
      </c>
    </row>
    <row r="109" spans="1:21" ht="13.5" customHeight="1" x14ac:dyDescent="0.2">
      <c r="A109" s="95" t="s">
        <v>195</v>
      </c>
      <c r="B109" s="96">
        <v>49004</v>
      </c>
      <c r="C109" s="92">
        <v>464.12</v>
      </c>
      <c r="D109" s="98">
        <v>0.25</v>
      </c>
      <c r="E109" s="279">
        <f t="shared" si="17"/>
        <v>1</v>
      </c>
      <c r="F109" s="98">
        <f t="shared" si="23"/>
        <v>13.9809</v>
      </c>
      <c r="G109" s="93">
        <f t="shared" si="18"/>
        <v>33.196718380075673</v>
      </c>
      <c r="H109" s="98">
        <f t="shared" si="12"/>
        <v>1.7881538384510298E-2</v>
      </c>
      <c r="I109" s="98">
        <f t="shared" si="13"/>
        <v>33.214599918460181</v>
      </c>
      <c r="J109" s="99">
        <f t="shared" si="14"/>
        <v>81039.335100000011</v>
      </c>
      <c r="K109" s="99">
        <f t="shared" si="15"/>
        <v>2691689.0930045275</v>
      </c>
      <c r="L109" s="99">
        <f t="shared" si="19"/>
        <v>1043837.0302671557</v>
      </c>
      <c r="M109" s="92">
        <v>0</v>
      </c>
      <c r="N109" s="92">
        <f t="shared" si="20"/>
        <v>0</v>
      </c>
      <c r="O109" s="92">
        <f t="shared" si="21"/>
        <v>0</v>
      </c>
      <c r="P109" s="99">
        <v>0</v>
      </c>
      <c r="Q109" s="94">
        <f t="shared" si="22"/>
        <v>3735526.1232716832</v>
      </c>
      <c r="R109" s="99">
        <v>0</v>
      </c>
      <c r="S109" s="99">
        <f t="shared" si="16"/>
        <v>3735526.1232716832</v>
      </c>
      <c r="T109" s="94">
        <v>1185230</v>
      </c>
      <c r="U109" s="94">
        <v>224962.09000000003</v>
      </c>
    </row>
    <row r="110" spans="1:21" ht="13.5" customHeight="1" x14ac:dyDescent="0.2">
      <c r="A110" s="95" t="s">
        <v>258</v>
      </c>
      <c r="B110" s="96">
        <v>49005</v>
      </c>
      <c r="C110" s="92">
        <v>24136.59</v>
      </c>
      <c r="D110" s="98">
        <v>575.5</v>
      </c>
      <c r="E110" s="279">
        <f t="shared" si="17"/>
        <v>2302</v>
      </c>
      <c r="F110" s="98">
        <f t="shared" si="23"/>
        <v>15</v>
      </c>
      <c r="G110" s="93">
        <f t="shared" si="18"/>
        <v>1609.106</v>
      </c>
      <c r="H110" s="98">
        <f t="shared" si="12"/>
        <v>38.366666666666667</v>
      </c>
      <c r="I110" s="98">
        <f t="shared" si="13"/>
        <v>1647.4726666666666</v>
      </c>
      <c r="J110" s="99">
        <f t="shared" si="14"/>
        <v>81039.335100000011</v>
      </c>
      <c r="K110" s="99">
        <f t="shared" si="15"/>
        <v>133510089.5020906</v>
      </c>
      <c r="L110" s="99">
        <f t="shared" si="19"/>
        <v>51775212.708910733</v>
      </c>
      <c r="M110" s="92">
        <v>1.2000000000000002</v>
      </c>
      <c r="N110" s="92">
        <f t="shared" si="20"/>
        <v>12.000000000000002</v>
      </c>
      <c r="O110" s="92">
        <f t="shared" si="21"/>
        <v>8997.3120000000017</v>
      </c>
      <c r="P110" s="99">
        <v>108013</v>
      </c>
      <c r="Q110" s="94">
        <f t="shared" si="22"/>
        <v>185402312.52300134</v>
      </c>
      <c r="R110" s="99">
        <v>0</v>
      </c>
      <c r="S110" s="99">
        <f t="shared" si="16"/>
        <v>185402312.52300134</v>
      </c>
      <c r="T110" s="94">
        <v>73346199</v>
      </c>
      <c r="U110" s="94">
        <v>6850068.1699999999</v>
      </c>
    </row>
    <row r="111" spans="1:21" ht="13.5" customHeight="1" x14ac:dyDescent="0.2">
      <c r="A111" s="95" t="s">
        <v>270</v>
      </c>
      <c r="B111" s="96">
        <v>49006</v>
      </c>
      <c r="C111" s="92">
        <v>997.5</v>
      </c>
      <c r="D111" s="98">
        <v>13</v>
      </c>
      <c r="E111" s="279">
        <f t="shared" si="17"/>
        <v>52</v>
      </c>
      <c r="F111" s="98">
        <f t="shared" si="23"/>
        <v>15</v>
      </c>
      <c r="G111" s="93">
        <f t="shared" si="18"/>
        <v>66.5</v>
      </c>
      <c r="H111" s="98">
        <f t="shared" si="12"/>
        <v>0.8666666666666667</v>
      </c>
      <c r="I111" s="98">
        <f t="shared" si="13"/>
        <v>67.36666666666666</v>
      </c>
      <c r="J111" s="99">
        <f t="shared" si="14"/>
        <v>81039.335100000011</v>
      </c>
      <c r="K111" s="99">
        <f t="shared" si="15"/>
        <v>5459349.87457</v>
      </c>
      <c r="L111" s="99">
        <f t="shared" si="19"/>
        <v>2117135.8813582459</v>
      </c>
      <c r="M111" s="92">
        <v>0.1</v>
      </c>
      <c r="N111" s="92">
        <f t="shared" si="20"/>
        <v>1</v>
      </c>
      <c r="O111" s="92">
        <f t="shared" si="21"/>
        <v>749.77600000000007</v>
      </c>
      <c r="P111" s="99">
        <v>0</v>
      </c>
      <c r="Q111" s="94">
        <f t="shared" si="22"/>
        <v>7577235.5319282459</v>
      </c>
      <c r="R111" s="99">
        <v>0</v>
      </c>
      <c r="S111" s="99">
        <f t="shared" si="16"/>
        <v>7577235.5319282459</v>
      </c>
      <c r="T111" s="94">
        <v>4392854</v>
      </c>
      <c r="U111" s="94">
        <v>657618.17999999993</v>
      </c>
    </row>
    <row r="112" spans="1:21" ht="13.5" customHeight="1" x14ac:dyDescent="0.2">
      <c r="A112" s="95" t="s">
        <v>281</v>
      </c>
      <c r="B112" s="96">
        <v>49007</v>
      </c>
      <c r="C112" s="92">
        <v>1397.12</v>
      </c>
      <c r="D112" s="98">
        <v>1.5</v>
      </c>
      <c r="E112" s="279">
        <f t="shared" si="17"/>
        <v>6</v>
      </c>
      <c r="F112" s="98">
        <f t="shared" si="23"/>
        <v>15</v>
      </c>
      <c r="G112" s="93">
        <f t="shared" si="18"/>
        <v>93.141333333333321</v>
      </c>
      <c r="H112" s="98">
        <f t="shared" si="12"/>
        <v>0.1</v>
      </c>
      <c r="I112" s="98">
        <f t="shared" si="13"/>
        <v>93.241333333333316</v>
      </c>
      <c r="J112" s="99">
        <f t="shared" si="14"/>
        <v>81039.335100000011</v>
      </c>
      <c r="K112" s="99">
        <f t="shared" si="15"/>
        <v>7556215.6571707996</v>
      </c>
      <c r="L112" s="99">
        <f t="shared" si="19"/>
        <v>2930300.4318508357</v>
      </c>
      <c r="M112" s="92">
        <v>0.30000000000000004</v>
      </c>
      <c r="N112" s="92">
        <f t="shared" si="20"/>
        <v>3.0000000000000004</v>
      </c>
      <c r="O112" s="92">
        <f t="shared" si="21"/>
        <v>2249.3280000000004</v>
      </c>
      <c r="P112" s="99">
        <v>0</v>
      </c>
      <c r="Q112" s="94">
        <f t="shared" si="22"/>
        <v>10488765.417021634</v>
      </c>
      <c r="R112" s="99">
        <v>0</v>
      </c>
      <c r="S112" s="99">
        <f t="shared" si="16"/>
        <v>10488765.417021634</v>
      </c>
      <c r="T112" s="94">
        <v>3462759</v>
      </c>
      <c r="U112" s="94">
        <v>628889.4</v>
      </c>
    </row>
    <row r="113" spans="1:21" ht="13.5" customHeight="1" x14ac:dyDescent="0.2">
      <c r="A113" s="95" t="s">
        <v>191</v>
      </c>
      <c r="B113" s="96">
        <v>50003</v>
      </c>
      <c r="C113" s="92">
        <v>690</v>
      </c>
      <c r="D113" s="98">
        <v>22.5</v>
      </c>
      <c r="E113" s="279">
        <f t="shared" si="17"/>
        <v>90</v>
      </c>
      <c r="F113" s="98">
        <f t="shared" si="23"/>
        <v>15</v>
      </c>
      <c r="G113" s="93">
        <f t="shared" si="18"/>
        <v>46</v>
      </c>
      <c r="H113" s="98">
        <f t="shared" si="12"/>
        <v>1.5</v>
      </c>
      <c r="I113" s="98">
        <f t="shared" si="13"/>
        <v>47.5</v>
      </c>
      <c r="J113" s="99">
        <f t="shared" si="14"/>
        <v>81039.335100000011</v>
      </c>
      <c r="K113" s="99">
        <f t="shared" si="15"/>
        <v>3849368.4172500004</v>
      </c>
      <c r="L113" s="99">
        <f t="shared" si="19"/>
        <v>1492785.0722095501</v>
      </c>
      <c r="M113" s="92">
        <v>0.30000000000000004</v>
      </c>
      <c r="N113" s="92">
        <f t="shared" si="20"/>
        <v>3.0000000000000004</v>
      </c>
      <c r="O113" s="92">
        <f t="shared" si="21"/>
        <v>2249.3280000000004</v>
      </c>
      <c r="P113" s="99">
        <v>0</v>
      </c>
      <c r="Q113" s="94">
        <f t="shared" si="22"/>
        <v>5344402.8174595498</v>
      </c>
      <c r="R113" s="99">
        <v>0</v>
      </c>
      <c r="S113" s="99">
        <f t="shared" si="16"/>
        <v>5344402.8174595498</v>
      </c>
      <c r="T113" s="94">
        <v>1299019</v>
      </c>
      <c r="U113" s="94">
        <v>211898.26</v>
      </c>
    </row>
    <row r="114" spans="1:21" ht="13.5" customHeight="1" x14ac:dyDescent="0.2">
      <c r="A114" s="95" t="s">
        <v>168</v>
      </c>
      <c r="B114" s="96">
        <v>50005</v>
      </c>
      <c r="C114" s="92">
        <v>334</v>
      </c>
      <c r="D114" s="98">
        <v>2.25</v>
      </c>
      <c r="E114" s="279">
        <f t="shared" si="17"/>
        <v>9</v>
      </c>
      <c r="F114" s="98">
        <f t="shared" si="23"/>
        <v>13.004999999999999</v>
      </c>
      <c r="G114" s="93">
        <f t="shared" si="18"/>
        <v>25.68242983467897</v>
      </c>
      <c r="H114" s="98">
        <f t="shared" si="12"/>
        <v>0.17301038062283738</v>
      </c>
      <c r="I114" s="98">
        <f t="shared" si="13"/>
        <v>25.855440215301808</v>
      </c>
      <c r="J114" s="99">
        <f t="shared" si="14"/>
        <v>81039.335100000011</v>
      </c>
      <c r="K114" s="99">
        <f t="shared" si="15"/>
        <v>2095307.6837658596</v>
      </c>
      <c r="L114" s="99">
        <f t="shared" si="19"/>
        <v>812560.31976440025</v>
      </c>
      <c r="M114" s="92">
        <v>0.1</v>
      </c>
      <c r="N114" s="92">
        <f t="shared" si="20"/>
        <v>1</v>
      </c>
      <c r="O114" s="92">
        <f t="shared" si="21"/>
        <v>749.77600000000007</v>
      </c>
      <c r="P114" s="99">
        <v>0</v>
      </c>
      <c r="Q114" s="94">
        <f t="shared" si="22"/>
        <v>2908617.7795302598</v>
      </c>
      <c r="R114" s="99">
        <v>0</v>
      </c>
      <c r="S114" s="99">
        <f t="shared" si="16"/>
        <v>2908617.7795302598</v>
      </c>
      <c r="T114" s="94">
        <v>721644</v>
      </c>
      <c r="U114" s="94">
        <v>122760.49</v>
      </c>
    </row>
    <row r="115" spans="1:21" ht="13.5" customHeight="1" x14ac:dyDescent="0.2">
      <c r="A115" s="95" t="s">
        <v>178</v>
      </c>
      <c r="B115" s="96">
        <v>51001</v>
      </c>
      <c r="C115" s="92">
        <v>2847.69</v>
      </c>
      <c r="D115" s="98">
        <v>5</v>
      </c>
      <c r="E115" s="279">
        <f t="shared" si="17"/>
        <v>20</v>
      </c>
      <c r="F115" s="98">
        <f t="shared" si="23"/>
        <v>15</v>
      </c>
      <c r="G115" s="93">
        <f t="shared" si="18"/>
        <v>189.846</v>
      </c>
      <c r="H115" s="98">
        <f t="shared" si="12"/>
        <v>0.33333333333333331</v>
      </c>
      <c r="I115" s="98">
        <f t="shared" si="13"/>
        <v>190.17933333333335</v>
      </c>
      <c r="J115" s="99">
        <f t="shared" si="14"/>
        <v>81039.335100000011</v>
      </c>
      <c r="K115" s="99">
        <f t="shared" si="15"/>
        <v>15412006.723094603</v>
      </c>
      <c r="L115" s="99">
        <f t="shared" si="19"/>
        <v>5976776.2072160868</v>
      </c>
      <c r="M115" s="92">
        <v>0.5</v>
      </c>
      <c r="N115" s="92">
        <f t="shared" si="20"/>
        <v>5</v>
      </c>
      <c r="O115" s="92">
        <f t="shared" si="21"/>
        <v>3748.88</v>
      </c>
      <c r="P115" s="99">
        <v>0</v>
      </c>
      <c r="Q115" s="94">
        <f t="shared" si="22"/>
        <v>21392531.810310688</v>
      </c>
      <c r="R115" s="99">
        <v>0</v>
      </c>
      <c r="S115" s="99">
        <f t="shared" si="16"/>
        <v>21392531.810310688</v>
      </c>
      <c r="T115" s="94">
        <v>3753527</v>
      </c>
      <c r="U115" s="94">
        <v>425416.44000000006</v>
      </c>
    </row>
    <row r="116" spans="1:21" ht="13.5" customHeight="1" x14ac:dyDescent="0.2">
      <c r="A116" s="95" t="s">
        <v>208</v>
      </c>
      <c r="B116" s="96">
        <v>51002</v>
      </c>
      <c r="C116" s="92">
        <v>499.2</v>
      </c>
      <c r="D116" s="98">
        <v>3.25</v>
      </c>
      <c r="E116" s="279">
        <f t="shared" si="17"/>
        <v>13</v>
      </c>
      <c r="F116" s="98">
        <f t="shared" si="23"/>
        <v>14.244</v>
      </c>
      <c r="G116" s="93">
        <f t="shared" si="18"/>
        <v>35.046335299073291</v>
      </c>
      <c r="H116" s="98">
        <f t="shared" si="12"/>
        <v>0.2281662454366751</v>
      </c>
      <c r="I116" s="98">
        <f t="shared" si="13"/>
        <v>35.274501544509967</v>
      </c>
      <c r="J116" s="99">
        <f t="shared" si="14"/>
        <v>81039.335100000011</v>
      </c>
      <c r="K116" s="99">
        <f t="shared" si="15"/>
        <v>2858622.1511510112</v>
      </c>
      <c r="L116" s="99">
        <f t="shared" si="19"/>
        <v>1108573.670216362</v>
      </c>
      <c r="M116" s="92">
        <v>0</v>
      </c>
      <c r="N116" s="92">
        <f t="shared" si="20"/>
        <v>0</v>
      </c>
      <c r="O116" s="92">
        <f t="shared" si="21"/>
        <v>0</v>
      </c>
      <c r="P116" s="99">
        <v>0</v>
      </c>
      <c r="Q116" s="94">
        <f t="shared" si="22"/>
        <v>3967195.8213673732</v>
      </c>
      <c r="R116" s="99">
        <v>0</v>
      </c>
      <c r="S116" s="99">
        <f t="shared" si="16"/>
        <v>3967195.8213673732</v>
      </c>
      <c r="T116" s="94">
        <v>4378834</v>
      </c>
      <c r="U116" s="94">
        <v>198239.66999999998</v>
      </c>
    </row>
    <row r="117" spans="1:21" ht="13.5" customHeight="1" x14ac:dyDescent="0.2">
      <c r="A117" s="95" t="s">
        <v>240</v>
      </c>
      <c r="B117" s="96">
        <v>51003</v>
      </c>
      <c r="C117" s="92">
        <v>263.22000000000003</v>
      </c>
      <c r="D117" s="98">
        <v>0</v>
      </c>
      <c r="E117" s="279">
        <f t="shared" si="17"/>
        <v>0</v>
      </c>
      <c r="F117" s="98">
        <f t="shared" si="23"/>
        <v>12.47415</v>
      </c>
      <c r="G117" s="93">
        <f t="shared" si="18"/>
        <v>21.101237358858121</v>
      </c>
      <c r="H117" s="98">
        <f t="shared" si="12"/>
        <v>0</v>
      </c>
      <c r="I117" s="98">
        <f t="shared" si="13"/>
        <v>21.101237358858121</v>
      </c>
      <c r="J117" s="99">
        <f t="shared" si="14"/>
        <v>81039.335100000011</v>
      </c>
      <c r="K117" s="99">
        <f t="shared" si="15"/>
        <v>1710030.2453491425</v>
      </c>
      <c r="L117" s="99">
        <f t="shared" si="19"/>
        <v>663149.72914639744</v>
      </c>
      <c r="M117" s="92">
        <v>0</v>
      </c>
      <c r="N117" s="92">
        <f t="shared" si="20"/>
        <v>0</v>
      </c>
      <c r="O117" s="92">
        <f t="shared" si="21"/>
        <v>0</v>
      </c>
      <c r="P117" s="99">
        <v>0</v>
      </c>
      <c r="Q117" s="94">
        <f t="shared" si="22"/>
        <v>2373179.9744955399</v>
      </c>
      <c r="R117" s="99">
        <v>0</v>
      </c>
      <c r="S117" s="99">
        <f t="shared" si="16"/>
        <v>2373179.9744955399</v>
      </c>
      <c r="T117" s="94">
        <v>430080</v>
      </c>
      <c r="U117" s="94">
        <v>75722.81</v>
      </c>
    </row>
    <row r="118" spans="1:21" ht="13.5" customHeight="1" x14ac:dyDescent="0.2">
      <c r="A118" s="95" t="s">
        <v>329</v>
      </c>
      <c r="B118" s="96">
        <v>51004</v>
      </c>
      <c r="C118" s="92">
        <v>11947.25</v>
      </c>
      <c r="D118" s="98">
        <v>32.25</v>
      </c>
      <c r="E118" s="279">
        <f t="shared" si="17"/>
        <v>129</v>
      </c>
      <c r="F118" s="98">
        <f t="shared" si="23"/>
        <v>15</v>
      </c>
      <c r="G118" s="93">
        <f t="shared" si="18"/>
        <v>796.48333333333335</v>
      </c>
      <c r="H118" s="98">
        <f t="shared" si="12"/>
        <v>2.15</v>
      </c>
      <c r="I118" s="98">
        <f t="shared" si="13"/>
        <v>798.63333333333333</v>
      </c>
      <c r="J118" s="99">
        <f t="shared" si="14"/>
        <v>81039.335100000011</v>
      </c>
      <c r="K118" s="99">
        <f t="shared" si="15"/>
        <v>64720714.322030008</v>
      </c>
      <c r="L118" s="99">
        <f t="shared" si="19"/>
        <v>25098693.014083236</v>
      </c>
      <c r="M118" s="92">
        <v>2.29</v>
      </c>
      <c r="N118" s="92">
        <f t="shared" si="20"/>
        <v>22.9</v>
      </c>
      <c r="O118" s="92">
        <f t="shared" si="21"/>
        <v>17169.8704</v>
      </c>
      <c r="P118" s="99">
        <v>79041</v>
      </c>
      <c r="Q118" s="94">
        <f t="shared" si="22"/>
        <v>89915618.206513241</v>
      </c>
      <c r="R118" s="99">
        <v>0</v>
      </c>
      <c r="S118" s="99">
        <f t="shared" si="16"/>
        <v>89915618.206513241</v>
      </c>
      <c r="T118" s="94">
        <v>51416711</v>
      </c>
      <c r="U118" s="94">
        <v>2873159.02</v>
      </c>
    </row>
    <row r="119" spans="1:21" ht="13.5" customHeight="1" x14ac:dyDescent="0.2">
      <c r="A119" s="95" t="s">
        <v>274</v>
      </c>
      <c r="B119" s="96">
        <v>51005</v>
      </c>
      <c r="C119" s="92">
        <v>278.16000000000003</v>
      </c>
      <c r="D119" s="98">
        <v>0</v>
      </c>
      <c r="E119" s="279">
        <f t="shared" si="17"/>
        <v>0</v>
      </c>
      <c r="F119" s="98">
        <f t="shared" si="23"/>
        <v>12.5862</v>
      </c>
      <c r="G119" s="93">
        <f t="shared" si="18"/>
        <v>22.100395671449686</v>
      </c>
      <c r="H119" s="98">
        <f t="shared" si="12"/>
        <v>0</v>
      </c>
      <c r="I119" s="98">
        <f t="shared" si="13"/>
        <v>22.100395671449686</v>
      </c>
      <c r="J119" s="99">
        <f t="shared" si="14"/>
        <v>81039.335100000011</v>
      </c>
      <c r="K119" s="99">
        <f t="shared" si="15"/>
        <v>1791001.370661201</v>
      </c>
      <c r="L119" s="99">
        <f t="shared" si="19"/>
        <v>694550.33154241368</v>
      </c>
      <c r="M119" s="92">
        <v>0</v>
      </c>
      <c r="N119" s="92">
        <f t="shared" si="20"/>
        <v>0</v>
      </c>
      <c r="O119" s="92">
        <f t="shared" si="21"/>
        <v>0</v>
      </c>
      <c r="P119" s="99">
        <v>0</v>
      </c>
      <c r="Q119" s="94">
        <f t="shared" si="22"/>
        <v>2485551.7022036146</v>
      </c>
      <c r="R119" s="99">
        <v>0</v>
      </c>
      <c r="S119" s="99">
        <f t="shared" si="16"/>
        <v>2485551.7022036146</v>
      </c>
      <c r="T119" s="94">
        <v>774136</v>
      </c>
      <c r="U119" s="94">
        <v>146032.41999999998</v>
      </c>
    </row>
    <row r="120" spans="1:21" ht="13.5" customHeight="1" x14ac:dyDescent="0.2">
      <c r="A120" s="95" t="s">
        <v>153</v>
      </c>
      <c r="B120" s="96">
        <v>52001</v>
      </c>
      <c r="C120" s="92">
        <v>118</v>
      </c>
      <c r="D120" s="98">
        <v>0</v>
      </c>
      <c r="E120" s="279">
        <f t="shared" si="17"/>
        <v>0</v>
      </c>
      <c r="F120" s="98">
        <f t="shared" si="23"/>
        <v>12</v>
      </c>
      <c r="G120" s="93">
        <f t="shared" si="18"/>
        <v>9.8333333333333339</v>
      </c>
      <c r="H120" s="98">
        <f t="shared" si="12"/>
        <v>0</v>
      </c>
      <c r="I120" s="98">
        <f t="shared" si="13"/>
        <v>9.8333333333333339</v>
      </c>
      <c r="J120" s="99">
        <f t="shared" si="14"/>
        <v>81039.335100000011</v>
      </c>
      <c r="K120" s="99">
        <f t="shared" si="15"/>
        <v>796886.79515000014</v>
      </c>
      <c r="L120" s="99">
        <f t="shared" si="19"/>
        <v>309032.69915917004</v>
      </c>
      <c r="M120" s="92">
        <v>0.60000000000000009</v>
      </c>
      <c r="N120" s="92">
        <f t="shared" si="20"/>
        <v>6.0000000000000009</v>
      </c>
      <c r="O120" s="92">
        <f t="shared" si="21"/>
        <v>4498.6560000000009</v>
      </c>
      <c r="P120" s="99">
        <v>0</v>
      </c>
      <c r="Q120" s="94">
        <f t="shared" si="22"/>
        <v>1110418.1503091701</v>
      </c>
      <c r="R120" s="99">
        <v>0</v>
      </c>
      <c r="S120" s="99">
        <f t="shared" si="16"/>
        <v>1110418.1503091701</v>
      </c>
      <c r="T120" s="94">
        <v>486357</v>
      </c>
      <c r="U120" s="94">
        <v>123304.02</v>
      </c>
    </row>
    <row r="121" spans="1:21" ht="13.5" customHeight="1" x14ac:dyDescent="0.2">
      <c r="A121" s="95" t="s">
        <v>223</v>
      </c>
      <c r="B121" s="96">
        <v>52004</v>
      </c>
      <c r="C121" s="92">
        <v>284.2</v>
      </c>
      <c r="D121" s="98">
        <v>0</v>
      </c>
      <c r="E121" s="279">
        <f t="shared" si="17"/>
        <v>0</v>
      </c>
      <c r="F121" s="98">
        <f t="shared" si="23"/>
        <v>12.631499999999999</v>
      </c>
      <c r="G121" s="93">
        <f t="shared" si="18"/>
        <v>22.499307287337214</v>
      </c>
      <c r="H121" s="98">
        <f t="shared" si="12"/>
        <v>0</v>
      </c>
      <c r="I121" s="98">
        <f t="shared" si="13"/>
        <v>22.499307287337214</v>
      </c>
      <c r="J121" s="99">
        <f t="shared" si="14"/>
        <v>81039.335100000011</v>
      </c>
      <c r="K121" s="99">
        <f t="shared" si="15"/>
        <v>1823328.9027763926</v>
      </c>
      <c r="L121" s="99">
        <f t="shared" si="19"/>
        <v>707086.94849668501</v>
      </c>
      <c r="M121" s="92">
        <v>0</v>
      </c>
      <c r="N121" s="92">
        <f t="shared" si="20"/>
        <v>0</v>
      </c>
      <c r="O121" s="92">
        <f t="shared" si="21"/>
        <v>0</v>
      </c>
      <c r="P121" s="99">
        <v>0</v>
      </c>
      <c r="Q121" s="94">
        <f t="shared" si="22"/>
        <v>2530415.8512730775</v>
      </c>
      <c r="R121" s="99">
        <v>0</v>
      </c>
      <c r="S121" s="99">
        <f t="shared" si="16"/>
        <v>2530415.8512730775</v>
      </c>
      <c r="T121" s="94">
        <v>917859</v>
      </c>
      <c r="U121" s="94">
        <v>207496.53999999998</v>
      </c>
    </row>
    <row r="122" spans="1:21" ht="13.5" customHeight="1" x14ac:dyDescent="0.2">
      <c r="A122" s="95" t="s">
        <v>197</v>
      </c>
      <c r="B122" s="96">
        <v>53001</v>
      </c>
      <c r="C122" s="92">
        <v>211.8</v>
      </c>
      <c r="D122" s="98">
        <v>1.5</v>
      </c>
      <c r="E122" s="279">
        <f t="shared" si="17"/>
        <v>6</v>
      </c>
      <c r="F122" s="98">
        <f t="shared" si="23"/>
        <v>12.0885</v>
      </c>
      <c r="G122" s="93">
        <f t="shared" si="18"/>
        <v>17.520784216404021</v>
      </c>
      <c r="H122" s="98">
        <f t="shared" si="12"/>
        <v>0.12408487405385284</v>
      </c>
      <c r="I122" s="98">
        <f t="shared" si="13"/>
        <v>17.644869090457874</v>
      </c>
      <c r="J122" s="99">
        <f t="shared" si="14"/>
        <v>81039.335100000011</v>
      </c>
      <c r="K122" s="99">
        <f t="shared" si="15"/>
        <v>1429928.4590172481</v>
      </c>
      <c r="L122" s="99">
        <f t="shared" si="19"/>
        <v>554526.25640688883</v>
      </c>
      <c r="M122" s="92">
        <v>0</v>
      </c>
      <c r="N122" s="92">
        <f t="shared" si="20"/>
        <v>0</v>
      </c>
      <c r="O122" s="92">
        <f t="shared" si="21"/>
        <v>0</v>
      </c>
      <c r="P122" s="99">
        <v>0</v>
      </c>
      <c r="Q122" s="94">
        <f t="shared" si="22"/>
        <v>1984454.715424137</v>
      </c>
      <c r="R122" s="99">
        <v>0</v>
      </c>
      <c r="S122" s="99">
        <f t="shared" si="16"/>
        <v>1984454.715424137</v>
      </c>
      <c r="T122" s="94">
        <v>714061</v>
      </c>
      <c r="U122" s="94">
        <v>109474.66</v>
      </c>
    </row>
    <row r="123" spans="1:21" ht="13.5" customHeight="1" x14ac:dyDescent="0.2">
      <c r="A123" s="95" t="s">
        <v>211</v>
      </c>
      <c r="B123" s="96">
        <v>53002</v>
      </c>
      <c r="C123" s="92">
        <v>102</v>
      </c>
      <c r="D123" s="98">
        <v>0.75</v>
      </c>
      <c r="E123" s="279">
        <f t="shared" si="17"/>
        <v>3</v>
      </c>
      <c r="F123" s="98">
        <f t="shared" si="23"/>
        <v>12</v>
      </c>
      <c r="G123" s="93">
        <f t="shared" si="18"/>
        <v>8.5</v>
      </c>
      <c r="H123" s="98">
        <f t="shared" si="12"/>
        <v>6.25E-2</v>
      </c>
      <c r="I123" s="98">
        <f t="shared" si="13"/>
        <v>8.5625</v>
      </c>
      <c r="J123" s="99">
        <f t="shared" si="14"/>
        <v>81039.335100000011</v>
      </c>
      <c r="K123" s="99">
        <f t="shared" si="15"/>
        <v>693899.30679375015</v>
      </c>
      <c r="L123" s="99">
        <f t="shared" si="19"/>
        <v>269094.1511746163</v>
      </c>
      <c r="M123" s="92">
        <v>0</v>
      </c>
      <c r="N123" s="92">
        <f t="shared" si="20"/>
        <v>0</v>
      </c>
      <c r="O123" s="92">
        <f t="shared" si="21"/>
        <v>0</v>
      </c>
      <c r="P123" s="99">
        <v>0</v>
      </c>
      <c r="Q123" s="94">
        <f t="shared" si="22"/>
        <v>962993.45796836645</v>
      </c>
      <c r="R123" s="99">
        <v>693722.42732142867</v>
      </c>
      <c r="S123" s="99">
        <f t="shared" si="16"/>
        <v>693722.42732142867</v>
      </c>
      <c r="T123" s="94">
        <v>978135</v>
      </c>
      <c r="U123" s="94">
        <v>120612.43000000001</v>
      </c>
    </row>
    <row r="124" spans="1:21" ht="13.5" customHeight="1" x14ac:dyDescent="0.2">
      <c r="A124" s="95" t="s">
        <v>260</v>
      </c>
      <c r="B124" s="96">
        <v>54002</v>
      </c>
      <c r="C124" s="92">
        <v>953</v>
      </c>
      <c r="D124" s="98">
        <v>8.5</v>
      </c>
      <c r="E124" s="279">
        <f t="shared" si="17"/>
        <v>34</v>
      </c>
      <c r="F124" s="98">
        <f t="shared" si="23"/>
        <v>15</v>
      </c>
      <c r="G124" s="93">
        <f t="shared" si="18"/>
        <v>63.533333333333331</v>
      </c>
      <c r="H124" s="98">
        <f t="shared" si="12"/>
        <v>0.56666666666666665</v>
      </c>
      <c r="I124" s="98">
        <f t="shared" si="13"/>
        <v>64.099999999999994</v>
      </c>
      <c r="J124" s="99">
        <f t="shared" si="14"/>
        <v>81039.335100000011</v>
      </c>
      <c r="K124" s="99">
        <f t="shared" si="15"/>
        <v>5194621.3799100006</v>
      </c>
      <c r="L124" s="99">
        <f t="shared" si="19"/>
        <v>2014474.1711290982</v>
      </c>
      <c r="M124" s="92">
        <v>0.2</v>
      </c>
      <c r="N124" s="92">
        <f t="shared" si="20"/>
        <v>2</v>
      </c>
      <c r="O124" s="92">
        <f t="shared" si="21"/>
        <v>1499.5520000000001</v>
      </c>
      <c r="P124" s="99">
        <v>0</v>
      </c>
      <c r="Q124" s="94">
        <f t="shared" si="22"/>
        <v>7210595.1030390989</v>
      </c>
      <c r="R124" s="99">
        <v>0</v>
      </c>
      <c r="S124" s="99">
        <f t="shared" si="16"/>
        <v>7210595.1030390989</v>
      </c>
      <c r="T124" s="94">
        <v>2251040</v>
      </c>
      <c r="U124" s="94">
        <v>911653.7300000001</v>
      </c>
    </row>
    <row r="125" spans="1:21" ht="13.5" customHeight="1" x14ac:dyDescent="0.2">
      <c r="A125" s="95" t="s">
        <v>253</v>
      </c>
      <c r="B125" s="96">
        <v>54004</v>
      </c>
      <c r="C125" s="92">
        <v>213</v>
      </c>
      <c r="D125" s="98">
        <v>6</v>
      </c>
      <c r="E125" s="279">
        <f t="shared" si="17"/>
        <v>24</v>
      </c>
      <c r="F125" s="98">
        <f t="shared" si="23"/>
        <v>12.0975</v>
      </c>
      <c r="G125" s="93">
        <f t="shared" si="18"/>
        <v>17.606943583384997</v>
      </c>
      <c r="H125" s="98">
        <f t="shared" si="12"/>
        <v>0.49597024178549287</v>
      </c>
      <c r="I125" s="98">
        <f t="shared" si="13"/>
        <v>18.102913825170489</v>
      </c>
      <c r="J125" s="99">
        <f t="shared" si="14"/>
        <v>81039.335100000011</v>
      </c>
      <c r="K125" s="99">
        <f t="shared" si="15"/>
        <v>1467048.0997644144</v>
      </c>
      <c r="L125" s="99">
        <f t="shared" si="19"/>
        <v>568921.25308863982</v>
      </c>
      <c r="M125" s="92">
        <v>0.70000000000000007</v>
      </c>
      <c r="N125" s="92">
        <f t="shared" si="20"/>
        <v>7</v>
      </c>
      <c r="O125" s="92">
        <f t="shared" si="21"/>
        <v>5248.4320000000007</v>
      </c>
      <c r="P125" s="99">
        <v>0</v>
      </c>
      <c r="Q125" s="94">
        <f t="shared" si="22"/>
        <v>2041217.7848530542</v>
      </c>
      <c r="R125" s="99">
        <v>0</v>
      </c>
      <c r="S125" s="99">
        <f t="shared" si="16"/>
        <v>2041217.7848530542</v>
      </c>
      <c r="T125" s="94">
        <v>483130</v>
      </c>
      <c r="U125" s="94">
        <v>114601.01</v>
      </c>
    </row>
    <row r="126" spans="1:21" ht="13.5" customHeight="1" x14ac:dyDescent="0.2">
      <c r="A126" s="95" t="s">
        <v>265</v>
      </c>
      <c r="B126" s="96">
        <v>54006</v>
      </c>
      <c r="C126" s="92">
        <v>164</v>
      </c>
      <c r="D126" s="98">
        <v>1.75</v>
      </c>
      <c r="E126" s="279">
        <f t="shared" si="17"/>
        <v>7</v>
      </c>
      <c r="F126" s="98">
        <f t="shared" si="23"/>
        <v>12</v>
      </c>
      <c r="G126" s="93">
        <f t="shared" si="18"/>
        <v>13.666666666666666</v>
      </c>
      <c r="H126" s="98">
        <f t="shared" si="12"/>
        <v>0.14583333333333334</v>
      </c>
      <c r="I126" s="98">
        <f t="shared" si="13"/>
        <v>13.8125</v>
      </c>
      <c r="J126" s="99">
        <f t="shared" si="14"/>
        <v>81039.335100000011</v>
      </c>
      <c r="K126" s="99">
        <f t="shared" si="15"/>
        <v>1119355.8160687501</v>
      </c>
      <c r="L126" s="99">
        <f t="shared" si="19"/>
        <v>434086.18547146127</v>
      </c>
      <c r="M126" s="92">
        <v>0</v>
      </c>
      <c r="N126" s="92">
        <f t="shared" si="20"/>
        <v>0</v>
      </c>
      <c r="O126" s="92">
        <f t="shared" si="21"/>
        <v>0</v>
      </c>
      <c r="P126" s="99">
        <v>0</v>
      </c>
      <c r="Q126" s="94">
        <f t="shared" si="22"/>
        <v>1553442.0015402115</v>
      </c>
      <c r="R126" s="99">
        <v>0</v>
      </c>
      <c r="S126" s="99">
        <f t="shared" si="16"/>
        <v>1553442.0015402115</v>
      </c>
      <c r="T126" s="94">
        <v>369327</v>
      </c>
      <c r="U126" s="94">
        <v>120868.07999999996</v>
      </c>
    </row>
    <row r="127" spans="1:21" ht="13.5" customHeight="1" x14ac:dyDescent="0.2">
      <c r="A127" s="95" t="s">
        <v>285</v>
      </c>
      <c r="B127" s="96">
        <v>54007</v>
      </c>
      <c r="C127" s="92">
        <v>219.78</v>
      </c>
      <c r="D127" s="98">
        <v>0.5</v>
      </c>
      <c r="E127" s="279">
        <f t="shared" si="17"/>
        <v>2</v>
      </c>
      <c r="F127" s="98">
        <f t="shared" si="23"/>
        <v>12.148350000000001</v>
      </c>
      <c r="G127" s="93">
        <f t="shared" si="18"/>
        <v>18.091345738310139</v>
      </c>
      <c r="H127" s="98">
        <f t="shared" si="12"/>
        <v>4.1157852712508283E-2</v>
      </c>
      <c r="I127" s="98">
        <f t="shared" si="13"/>
        <v>18.132503591022648</v>
      </c>
      <c r="J127" s="99">
        <f t="shared" si="14"/>
        <v>81039.335100000011</v>
      </c>
      <c r="K127" s="99">
        <f t="shared" si="15"/>
        <v>1469446.0347148378</v>
      </c>
      <c r="L127" s="99">
        <f t="shared" si="19"/>
        <v>569851.17226241401</v>
      </c>
      <c r="M127" s="92">
        <v>0</v>
      </c>
      <c r="N127" s="92">
        <f t="shared" si="20"/>
        <v>0</v>
      </c>
      <c r="O127" s="92">
        <f t="shared" si="21"/>
        <v>0</v>
      </c>
      <c r="P127" s="99">
        <v>0</v>
      </c>
      <c r="Q127" s="94">
        <f t="shared" si="22"/>
        <v>2039297.2069772519</v>
      </c>
      <c r="R127" s="99">
        <v>0</v>
      </c>
      <c r="S127" s="99">
        <f t="shared" si="16"/>
        <v>2039297.2069772519</v>
      </c>
      <c r="T127" s="94">
        <v>734542</v>
      </c>
      <c r="U127" s="94">
        <v>160723.83000000002</v>
      </c>
    </row>
    <row r="128" spans="1:21" ht="13.5" customHeight="1" x14ac:dyDescent="0.2">
      <c r="A128" s="95" t="s">
        <v>288</v>
      </c>
      <c r="B128" s="96">
        <v>55004</v>
      </c>
      <c r="C128" s="92">
        <v>231.3</v>
      </c>
      <c r="D128" s="98">
        <v>0</v>
      </c>
      <c r="E128" s="279">
        <f t="shared" si="17"/>
        <v>0</v>
      </c>
      <c r="F128" s="98">
        <f t="shared" si="23"/>
        <v>12.23475</v>
      </c>
      <c r="G128" s="93">
        <f t="shared" si="18"/>
        <v>18.905167657696317</v>
      </c>
      <c r="H128" s="98">
        <f t="shared" si="12"/>
        <v>0</v>
      </c>
      <c r="I128" s="98">
        <f t="shared" si="13"/>
        <v>18.905167657696317</v>
      </c>
      <c r="J128" s="99">
        <f t="shared" si="14"/>
        <v>81039.335100000011</v>
      </c>
      <c r="K128" s="99">
        <f t="shared" si="15"/>
        <v>1532062.2169337342</v>
      </c>
      <c r="L128" s="99">
        <f t="shared" si="19"/>
        <v>594133.72772690211</v>
      </c>
      <c r="M128" s="92">
        <v>0</v>
      </c>
      <c r="N128" s="92">
        <f t="shared" si="20"/>
        <v>0</v>
      </c>
      <c r="O128" s="92">
        <f t="shared" si="21"/>
        <v>0</v>
      </c>
      <c r="P128" s="99">
        <v>0</v>
      </c>
      <c r="Q128" s="94">
        <f t="shared" si="22"/>
        <v>2126195.9446606366</v>
      </c>
      <c r="R128" s="99">
        <v>0</v>
      </c>
      <c r="S128" s="99">
        <f t="shared" si="16"/>
        <v>2126195.9446606366</v>
      </c>
      <c r="T128" s="94">
        <v>535705</v>
      </c>
      <c r="U128" s="94">
        <v>58965.74</v>
      </c>
    </row>
    <row r="129" spans="1:21" ht="13.5" customHeight="1" x14ac:dyDescent="0.2">
      <c r="A129" s="95" t="s">
        <v>255</v>
      </c>
      <c r="B129" s="96">
        <v>55005</v>
      </c>
      <c r="C129" s="92">
        <v>209</v>
      </c>
      <c r="D129" s="98">
        <v>5.25</v>
      </c>
      <c r="E129" s="279">
        <f t="shared" si="17"/>
        <v>21</v>
      </c>
      <c r="F129" s="98">
        <f t="shared" si="23"/>
        <v>12.067499999999999</v>
      </c>
      <c r="G129" s="93">
        <f t="shared" si="18"/>
        <v>17.319245908431739</v>
      </c>
      <c r="H129" s="98">
        <f t="shared" si="12"/>
        <v>0.43505282784338101</v>
      </c>
      <c r="I129" s="98">
        <f t="shared" si="13"/>
        <v>17.754298736275121</v>
      </c>
      <c r="J129" s="99">
        <f t="shared" si="14"/>
        <v>81039.335100000011</v>
      </c>
      <c r="K129" s="99">
        <f t="shared" si="15"/>
        <v>1438796.5647545063</v>
      </c>
      <c r="L129" s="99">
        <f t="shared" si="19"/>
        <v>557965.30781179748</v>
      </c>
      <c r="M129" s="92">
        <v>0</v>
      </c>
      <c r="N129" s="92">
        <f t="shared" si="20"/>
        <v>0</v>
      </c>
      <c r="O129" s="92">
        <f t="shared" si="21"/>
        <v>0</v>
      </c>
      <c r="P129" s="99">
        <v>0</v>
      </c>
      <c r="Q129" s="94">
        <f t="shared" si="22"/>
        <v>1996761.8725663037</v>
      </c>
      <c r="R129" s="99">
        <v>0</v>
      </c>
      <c r="S129" s="99">
        <f t="shared" si="16"/>
        <v>1996761.8725663037</v>
      </c>
      <c r="T129" s="94">
        <v>762169</v>
      </c>
      <c r="U129" s="94">
        <v>67813.51999999999</v>
      </c>
    </row>
    <row r="130" spans="1:21" ht="13.5" customHeight="1" x14ac:dyDescent="0.2">
      <c r="A130" s="95" t="s">
        <v>177</v>
      </c>
      <c r="B130" s="96">
        <v>56002</v>
      </c>
      <c r="C130" s="92">
        <v>136</v>
      </c>
      <c r="D130" s="98">
        <v>4.5</v>
      </c>
      <c r="E130" s="279">
        <f t="shared" si="17"/>
        <v>18</v>
      </c>
      <c r="F130" s="98">
        <f t="shared" si="23"/>
        <v>12</v>
      </c>
      <c r="G130" s="93">
        <f t="shared" si="18"/>
        <v>11.333333333333334</v>
      </c>
      <c r="H130" s="98">
        <f t="shared" si="12"/>
        <v>0.375</v>
      </c>
      <c r="I130" s="98">
        <f t="shared" si="13"/>
        <v>11.708333333333334</v>
      </c>
      <c r="J130" s="99">
        <f t="shared" si="14"/>
        <v>81039.335100000011</v>
      </c>
      <c r="K130" s="99">
        <f t="shared" si="15"/>
        <v>948835.54846250021</v>
      </c>
      <c r="L130" s="99">
        <f t="shared" si="19"/>
        <v>367958.42569375754</v>
      </c>
      <c r="M130" s="92">
        <v>0</v>
      </c>
      <c r="N130" s="92">
        <f t="shared" si="20"/>
        <v>0</v>
      </c>
      <c r="O130" s="92">
        <f t="shared" si="21"/>
        <v>0</v>
      </c>
      <c r="P130" s="99">
        <v>0</v>
      </c>
      <c r="Q130" s="94">
        <f t="shared" si="22"/>
        <v>1316793.9741562577</v>
      </c>
      <c r="R130" s="99">
        <v>0</v>
      </c>
      <c r="S130" s="99">
        <f t="shared" si="16"/>
        <v>1316793.9741562577</v>
      </c>
      <c r="T130" s="94">
        <v>806582</v>
      </c>
      <c r="U130" s="94">
        <v>96695.63</v>
      </c>
    </row>
    <row r="131" spans="1:21" ht="13.5" customHeight="1" x14ac:dyDescent="0.2">
      <c r="A131" s="95" t="s">
        <v>252</v>
      </c>
      <c r="B131" s="96">
        <v>56004</v>
      </c>
      <c r="C131" s="92">
        <v>502.58</v>
      </c>
      <c r="D131" s="98">
        <v>0.75</v>
      </c>
      <c r="E131" s="279">
        <f t="shared" si="17"/>
        <v>3</v>
      </c>
      <c r="F131" s="98">
        <f t="shared" si="23"/>
        <v>14.269349999999999</v>
      </c>
      <c r="G131" s="93">
        <f t="shared" si="18"/>
        <v>35.220945593176985</v>
      </c>
      <c r="H131" s="98">
        <f t="shared" si="12"/>
        <v>5.2560207717940906E-2</v>
      </c>
      <c r="I131" s="98">
        <f t="shared" si="13"/>
        <v>35.273505800894924</v>
      </c>
      <c r="J131" s="99">
        <f t="shared" si="14"/>
        <v>81039.335100000011</v>
      </c>
      <c r="K131" s="99">
        <f t="shared" si="15"/>
        <v>2858541.4567505182</v>
      </c>
      <c r="L131" s="99">
        <f t="shared" si="19"/>
        <v>1108542.376927851</v>
      </c>
      <c r="M131" s="92">
        <v>0</v>
      </c>
      <c r="N131" s="92">
        <f t="shared" si="20"/>
        <v>0</v>
      </c>
      <c r="O131" s="92">
        <f t="shared" si="21"/>
        <v>0</v>
      </c>
      <c r="P131" s="99">
        <v>0</v>
      </c>
      <c r="Q131" s="94">
        <f t="shared" si="22"/>
        <v>3967083.8336783694</v>
      </c>
      <c r="R131" s="99">
        <v>0</v>
      </c>
      <c r="S131" s="99">
        <f t="shared" si="16"/>
        <v>3967083.8336783694</v>
      </c>
      <c r="T131" s="94">
        <v>1561141</v>
      </c>
      <c r="U131" s="94">
        <v>147520.20000000001</v>
      </c>
    </row>
    <row r="132" spans="1:21" ht="13.5" customHeight="1" x14ac:dyDescent="0.2">
      <c r="A132" s="95" t="s">
        <v>209</v>
      </c>
      <c r="B132" s="96">
        <v>56006</v>
      </c>
      <c r="C132" s="92">
        <v>217</v>
      </c>
      <c r="D132" s="98">
        <v>1.75</v>
      </c>
      <c r="E132" s="279">
        <f t="shared" si="17"/>
        <v>7</v>
      </c>
      <c r="F132" s="98">
        <f t="shared" si="23"/>
        <v>12.1275</v>
      </c>
      <c r="G132" s="93">
        <f t="shared" si="18"/>
        <v>17.893217893217894</v>
      </c>
      <c r="H132" s="98">
        <f t="shared" si="12"/>
        <v>0.14430014430014432</v>
      </c>
      <c r="I132" s="98">
        <f t="shared" si="13"/>
        <v>18.037518037518037</v>
      </c>
      <c r="J132" s="99">
        <f t="shared" si="14"/>
        <v>81039.335100000011</v>
      </c>
      <c r="K132" s="99">
        <f t="shared" si="15"/>
        <v>1461748.4686147189</v>
      </c>
      <c r="L132" s="99">
        <f t="shared" si="19"/>
        <v>566866.05612878792</v>
      </c>
      <c r="M132" s="92">
        <v>0</v>
      </c>
      <c r="N132" s="92">
        <f t="shared" si="20"/>
        <v>0</v>
      </c>
      <c r="O132" s="92">
        <f t="shared" si="21"/>
        <v>0</v>
      </c>
      <c r="P132" s="99">
        <v>0</v>
      </c>
      <c r="Q132" s="94">
        <f t="shared" si="22"/>
        <v>2028614.5247435067</v>
      </c>
      <c r="R132" s="99">
        <v>0</v>
      </c>
      <c r="S132" s="99">
        <f t="shared" si="16"/>
        <v>2028614.5247435067</v>
      </c>
      <c r="T132" s="94">
        <v>1218209</v>
      </c>
      <c r="U132" s="94">
        <v>169699.4</v>
      </c>
    </row>
    <row r="133" spans="1:21" ht="13.5" customHeight="1" x14ac:dyDescent="0.2">
      <c r="A133" s="95" t="s">
        <v>242</v>
      </c>
      <c r="B133" s="96">
        <v>56007</v>
      </c>
      <c r="C133" s="92">
        <v>380</v>
      </c>
      <c r="D133" s="98">
        <v>3.5</v>
      </c>
      <c r="E133" s="279">
        <f t="shared" si="17"/>
        <v>14</v>
      </c>
      <c r="F133" s="98">
        <f t="shared" si="23"/>
        <v>13.35</v>
      </c>
      <c r="G133" s="93">
        <f t="shared" si="18"/>
        <v>28.464419475655433</v>
      </c>
      <c r="H133" s="98">
        <f t="shared" si="12"/>
        <v>0.26217228464419479</v>
      </c>
      <c r="I133" s="98">
        <f t="shared" si="13"/>
        <v>28.726591760299627</v>
      </c>
      <c r="J133" s="99">
        <f t="shared" si="14"/>
        <v>81039.335100000011</v>
      </c>
      <c r="K133" s="99">
        <f t="shared" si="15"/>
        <v>2327983.8959438205</v>
      </c>
      <c r="L133" s="99">
        <f t="shared" si="19"/>
        <v>902792.15484701353</v>
      </c>
      <c r="M133" s="92">
        <v>0</v>
      </c>
      <c r="N133" s="92">
        <f t="shared" si="20"/>
        <v>0</v>
      </c>
      <c r="O133" s="92">
        <f t="shared" si="21"/>
        <v>0</v>
      </c>
      <c r="P133" s="99">
        <v>0</v>
      </c>
      <c r="Q133" s="94">
        <f t="shared" si="22"/>
        <v>3230776.0507908342</v>
      </c>
      <c r="R133" s="99">
        <v>0</v>
      </c>
      <c r="S133" s="99">
        <f t="shared" si="16"/>
        <v>3230776.0507908342</v>
      </c>
      <c r="T133" s="94">
        <v>1352648</v>
      </c>
      <c r="U133" s="94">
        <v>150081.87</v>
      </c>
    </row>
    <row r="134" spans="1:21" ht="13.5" customHeight="1" x14ac:dyDescent="0.2">
      <c r="A134" s="95" t="s">
        <v>264</v>
      </c>
      <c r="B134" s="96">
        <v>57001</v>
      </c>
      <c r="C134" s="92">
        <v>417.85</v>
      </c>
      <c r="D134" s="98">
        <v>0.5</v>
      </c>
      <c r="E134" s="279">
        <f t="shared" si="17"/>
        <v>2</v>
      </c>
      <c r="F134" s="98">
        <f t="shared" si="23"/>
        <v>13.633875</v>
      </c>
      <c r="G134" s="93">
        <f t="shared" si="18"/>
        <v>30.647926579934172</v>
      </c>
      <c r="H134" s="98">
        <f t="shared" ref="H134:H152" si="24">D134/F134</f>
        <v>3.6673359554785415E-2</v>
      </c>
      <c r="I134" s="98">
        <f t="shared" ref="I134:I152" si="25">G134+H134</f>
        <v>30.684599939488958</v>
      </c>
      <c r="J134" s="99">
        <f t="shared" ref="J134:J152" si="26">$J$4*1.29</f>
        <v>81039.335100000011</v>
      </c>
      <c r="K134" s="99">
        <f t="shared" ref="K134:K152" si="27">I134*J134</f>
        <v>2486659.5769056859</v>
      </c>
      <c r="L134" s="99">
        <f t="shared" si="19"/>
        <v>964326.58392402495</v>
      </c>
      <c r="M134" s="92">
        <v>0</v>
      </c>
      <c r="N134" s="92">
        <f t="shared" si="20"/>
        <v>0</v>
      </c>
      <c r="O134" s="92">
        <f t="shared" si="21"/>
        <v>0</v>
      </c>
      <c r="P134" s="99">
        <v>0</v>
      </c>
      <c r="Q134" s="94">
        <f t="shared" si="22"/>
        <v>3450986.1608297108</v>
      </c>
      <c r="R134" s="99">
        <v>0</v>
      </c>
      <c r="S134" s="99">
        <f t="shared" ref="S134:S152" si="28">IF(R134=0,Q134,R134)</f>
        <v>3450986.1608297108</v>
      </c>
      <c r="T134" s="94">
        <v>1865686</v>
      </c>
      <c r="U134" s="94">
        <v>273728.28000000003</v>
      </c>
    </row>
    <row r="135" spans="1:21" ht="13.5" customHeight="1" x14ac:dyDescent="0.2">
      <c r="A135" s="95" t="s">
        <v>142</v>
      </c>
      <c r="B135" s="96">
        <v>58003</v>
      </c>
      <c r="C135" s="92">
        <v>224</v>
      </c>
      <c r="D135" s="98">
        <v>1.5</v>
      </c>
      <c r="E135" s="279">
        <f t="shared" ref="E135:E152" si="29">D135/0.25</f>
        <v>6</v>
      </c>
      <c r="F135" s="98">
        <f t="shared" si="23"/>
        <v>12.18</v>
      </c>
      <c r="G135" s="93">
        <f t="shared" ref="G135:G152" si="30">C135/F135</f>
        <v>18.390804597701148</v>
      </c>
      <c r="H135" s="98">
        <f t="shared" si="24"/>
        <v>0.12315270935960591</v>
      </c>
      <c r="I135" s="98">
        <f t="shared" si="25"/>
        <v>18.513957307060753</v>
      </c>
      <c r="J135" s="99">
        <f t="shared" si="26"/>
        <v>81039.335100000011</v>
      </c>
      <c r="K135" s="99">
        <f t="shared" si="27"/>
        <v>1500358.7902339902</v>
      </c>
      <c r="L135" s="99">
        <f t="shared" ref="L135:L152" si="31">K135*0.3878</f>
        <v>581839.13885274134</v>
      </c>
      <c r="M135" s="92">
        <v>0.1</v>
      </c>
      <c r="N135" s="92">
        <f t="shared" ref="N135:N152" si="32">M135/0.1</f>
        <v>1</v>
      </c>
      <c r="O135" s="92">
        <f t="shared" ref="O135:O152" si="33">M135*$O$4</f>
        <v>749.77600000000007</v>
      </c>
      <c r="P135" s="99">
        <v>0</v>
      </c>
      <c r="Q135" s="94">
        <f t="shared" ref="Q135:Q152" si="34">K135+L135+O135+P135</f>
        <v>2082947.7050867316</v>
      </c>
      <c r="R135" s="99">
        <v>0</v>
      </c>
      <c r="S135" s="99">
        <f t="shared" si="28"/>
        <v>2082947.7050867316</v>
      </c>
      <c r="T135" s="94">
        <v>2228595</v>
      </c>
      <c r="U135" s="94">
        <v>515922.77999999997</v>
      </c>
    </row>
    <row r="136" spans="1:21" ht="13.5" customHeight="1" x14ac:dyDescent="0.2">
      <c r="A136" s="95" t="s">
        <v>286</v>
      </c>
      <c r="B136" s="96">
        <v>59002</v>
      </c>
      <c r="C136" s="92">
        <v>760</v>
      </c>
      <c r="D136" s="98">
        <v>0.25</v>
      </c>
      <c r="E136" s="279">
        <f t="shared" si="29"/>
        <v>1</v>
      </c>
      <c r="F136" s="98">
        <f t="shared" ref="F136:F152" si="35">IF(C136&lt;200,12,IF(C136&gt;600,15,(C136*0.0075)+10.5))</f>
        <v>15</v>
      </c>
      <c r="G136" s="93">
        <f t="shared" si="30"/>
        <v>50.666666666666664</v>
      </c>
      <c r="H136" s="98">
        <f t="shared" si="24"/>
        <v>1.6666666666666666E-2</v>
      </c>
      <c r="I136" s="98">
        <f t="shared" si="25"/>
        <v>50.68333333333333</v>
      </c>
      <c r="J136" s="99">
        <f t="shared" si="26"/>
        <v>81039.335100000011</v>
      </c>
      <c r="K136" s="99">
        <f t="shared" si="27"/>
        <v>4107343.6339850002</v>
      </c>
      <c r="L136" s="99">
        <f t="shared" si="31"/>
        <v>1592827.8612593829</v>
      </c>
      <c r="M136" s="92">
        <v>0.30000000000000004</v>
      </c>
      <c r="N136" s="92">
        <f t="shared" si="32"/>
        <v>3.0000000000000004</v>
      </c>
      <c r="O136" s="92">
        <f t="shared" si="33"/>
        <v>2249.3280000000004</v>
      </c>
      <c r="P136" s="99">
        <v>0</v>
      </c>
      <c r="Q136" s="94">
        <f t="shared" si="34"/>
        <v>5702420.8232443826</v>
      </c>
      <c r="R136" s="99">
        <v>0</v>
      </c>
      <c r="S136" s="99">
        <f t="shared" si="28"/>
        <v>5702420.8232443826</v>
      </c>
      <c r="T136" s="94">
        <v>1861549</v>
      </c>
      <c r="U136" s="94">
        <v>319359.05</v>
      </c>
    </row>
    <row r="137" spans="1:21" ht="13.5" customHeight="1" x14ac:dyDescent="0.2">
      <c r="A137" s="95" t="s">
        <v>416</v>
      </c>
      <c r="B137" s="96">
        <v>59003</v>
      </c>
      <c r="C137" s="92">
        <v>143.72999999999999</v>
      </c>
      <c r="D137" s="98">
        <v>0</v>
      </c>
      <c r="E137" s="279">
        <f t="shared" si="29"/>
        <v>0</v>
      </c>
      <c r="F137" s="98">
        <f t="shared" si="35"/>
        <v>12</v>
      </c>
      <c r="G137" s="93">
        <f t="shared" si="30"/>
        <v>11.977499999999999</v>
      </c>
      <c r="H137" s="98">
        <f t="shared" si="24"/>
        <v>0</v>
      </c>
      <c r="I137" s="98">
        <f t="shared" si="25"/>
        <v>11.977499999999999</v>
      </c>
      <c r="J137" s="99">
        <f t="shared" si="26"/>
        <v>81039.335100000011</v>
      </c>
      <c r="K137" s="99">
        <f t="shared" si="27"/>
        <v>970648.63616025005</v>
      </c>
      <c r="L137" s="99">
        <f t="shared" si="31"/>
        <v>376417.54110294493</v>
      </c>
      <c r="M137" s="92">
        <v>0</v>
      </c>
      <c r="N137" s="92">
        <f t="shared" si="32"/>
        <v>0</v>
      </c>
      <c r="O137" s="92">
        <f t="shared" si="33"/>
        <v>0</v>
      </c>
      <c r="P137" s="99">
        <v>0</v>
      </c>
      <c r="Q137" s="94">
        <f t="shared" si="34"/>
        <v>1347066.1772631949</v>
      </c>
      <c r="R137" s="99">
        <v>0</v>
      </c>
      <c r="S137" s="99">
        <f t="shared" si="28"/>
        <v>1347066.1772631949</v>
      </c>
      <c r="T137" s="94">
        <v>353186</v>
      </c>
      <c r="U137" s="94">
        <v>90216.63</v>
      </c>
    </row>
    <row r="138" spans="1:21" ht="13.5" customHeight="1" x14ac:dyDescent="0.2">
      <c r="A138" s="95" t="s">
        <v>164</v>
      </c>
      <c r="B138" s="96">
        <v>60001</v>
      </c>
      <c r="C138" s="92">
        <v>230.5</v>
      </c>
      <c r="D138" s="98">
        <v>0.5</v>
      </c>
      <c r="E138" s="279">
        <f t="shared" si="29"/>
        <v>2</v>
      </c>
      <c r="F138" s="98">
        <f t="shared" si="35"/>
        <v>12.22875</v>
      </c>
      <c r="G138" s="93">
        <f t="shared" si="30"/>
        <v>18.849023816825106</v>
      </c>
      <c r="H138" s="98">
        <f t="shared" si="24"/>
        <v>4.0887253398752939E-2</v>
      </c>
      <c r="I138" s="98">
        <f t="shared" si="25"/>
        <v>18.88991107022386</v>
      </c>
      <c r="J138" s="99">
        <f t="shared" si="26"/>
        <v>81039.335100000011</v>
      </c>
      <c r="K138" s="99">
        <f t="shared" si="27"/>
        <v>1530825.8332290712</v>
      </c>
      <c r="L138" s="99">
        <f t="shared" si="31"/>
        <v>593654.25812623382</v>
      </c>
      <c r="M138" s="92">
        <v>0.4</v>
      </c>
      <c r="N138" s="92">
        <f t="shared" si="32"/>
        <v>4</v>
      </c>
      <c r="O138" s="92">
        <f t="shared" si="33"/>
        <v>2999.1040000000003</v>
      </c>
      <c r="P138" s="99">
        <v>0</v>
      </c>
      <c r="Q138" s="94">
        <f t="shared" si="34"/>
        <v>2127479.195355305</v>
      </c>
      <c r="R138" s="99">
        <v>0</v>
      </c>
      <c r="S138" s="99">
        <f t="shared" si="28"/>
        <v>2127479.195355305</v>
      </c>
      <c r="T138" s="94">
        <v>691457</v>
      </c>
      <c r="U138" s="94">
        <v>108180.81</v>
      </c>
    </row>
    <row r="139" spans="1:21" ht="13.5" customHeight="1" x14ac:dyDescent="0.2">
      <c r="A139" s="95" t="s">
        <v>228</v>
      </c>
      <c r="B139" s="96">
        <v>60003</v>
      </c>
      <c r="C139" s="92">
        <v>177</v>
      </c>
      <c r="D139" s="98">
        <v>1.5</v>
      </c>
      <c r="E139" s="279">
        <f t="shared" si="29"/>
        <v>6</v>
      </c>
      <c r="F139" s="98">
        <f t="shared" si="35"/>
        <v>12</v>
      </c>
      <c r="G139" s="93">
        <f t="shared" si="30"/>
        <v>14.75</v>
      </c>
      <c r="H139" s="98">
        <f t="shared" si="24"/>
        <v>0.125</v>
      </c>
      <c r="I139" s="98">
        <f t="shared" si="25"/>
        <v>14.875</v>
      </c>
      <c r="J139" s="99">
        <f t="shared" si="26"/>
        <v>81039.335100000011</v>
      </c>
      <c r="K139" s="99">
        <f t="shared" si="27"/>
        <v>1205460.1096125001</v>
      </c>
      <c r="L139" s="99">
        <f t="shared" si="31"/>
        <v>467477.43050772749</v>
      </c>
      <c r="M139" s="92">
        <v>0</v>
      </c>
      <c r="N139" s="92">
        <f t="shared" si="32"/>
        <v>0</v>
      </c>
      <c r="O139" s="92">
        <f t="shared" si="33"/>
        <v>0</v>
      </c>
      <c r="P139" s="99">
        <v>0</v>
      </c>
      <c r="Q139" s="94">
        <f t="shared" si="34"/>
        <v>1672937.5401202275</v>
      </c>
      <c r="R139" s="99">
        <v>0</v>
      </c>
      <c r="S139" s="99">
        <f t="shared" si="28"/>
        <v>1672937.5401202275</v>
      </c>
      <c r="T139" s="94">
        <v>824164</v>
      </c>
      <c r="U139" s="94">
        <v>337297.99</v>
      </c>
    </row>
    <row r="140" spans="1:21" ht="13.5" customHeight="1" x14ac:dyDescent="0.2">
      <c r="A140" s="95" t="s">
        <v>246</v>
      </c>
      <c r="B140" s="96">
        <v>60004</v>
      </c>
      <c r="C140" s="92">
        <v>461.17</v>
      </c>
      <c r="D140" s="98">
        <v>3.25</v>
      </c>
      <c r="E140" s="279">
        <f t="shared" si="29"/>
        <v>13</v>
      </c>
      <c r="F140" s="98">
        <f t="shared" si="35"/>
        <v>13.958774999999999</v>
      </c>
      <c r="G140" s="93">
        <f t="shared" si="30"/>
        <v>33.037999394646022</v>
      </c>
      <c r="H140" s="98">
        <f t="shared" si="24"/>
        <v>0.23282845378623843</v>
      </c>
      <c r="I140" s="98">
        <f t="shared" si="25"/>
        <v>33.270827848432262</v>
      </c>
      <c r="J140" s="99">
        <f t="shared" si="26"/>
        <v>81039.335100000011</v>
      </c>
      <c r="K140" s="99">
        <f t="shared" si="27"/>
        <v>2696245.7670635143</v>
      </c>
      <c r="L140" s="99">
        <f t="shared" si="31"/>
        <v>1045604.1084672308</v>
      </c>
      <c r="M140" s="92">
        <v>0.1</v>
      </c>
      <c r="N140" s="92">
        <f t="shared" si="32"/>
        <v>1</v>
      </c>
      <c r="O140" s="92">
        <f t="shared" si="33"/>
        <v>749.77600000000007</v>
      </c>
      <c r="P140" s="99">
        <v>0</v>
      </c>
      <c r="Q140" s="94">
        <f t="shared" si="34"/>
        <v>3742599.651530745</v>
      </c>
      <c r="R140" s="99">
        <v>0</v>
      </c>
      <c r="S140" s="99">
        <f t="shared" si="28"/>
        <v>3742599.651530745</v>
      </c>
      <c r="T140" s="94">
        <v>1129002</v>
      </c>
      <c r="U140" s="94">
        <v>153611.63</v>
      </c>
    </row>
    <row r="141" spans="1:21" ht="13.5" customHeight="1" x14ac:dyDescent="0.2">
      <c r="A141" s="95" t="s">
        <v>272</v>
      </c>
      <c r="B141" s="96">
        <v>60006</v>
      </c>
      <c r="C141" s="92">
        <v>385.8</v>
      </c>
      <c r="D141" s="98">
        <v>2.75</v>
      </c>
      <c r="E141" s="279">
        <f t="shared" si="29"/>
        <v>11</v>
      </c>
      <c r="F141" s="98">
        <f t="shared" si="35"/>
        <v>13.3935</v>
      </c>
      <c r="G141" s="93">
        <f t="shared" si="30"/>
        <v>28.805017359166762</v>
      </c>
      <c r="H141" s="98">
        <f t="shared" si="24"/>
        <v>0.20532347780639865</v>
      </c>
      <c r="I141" s="98">
        <f t="shared" si="25"/>
        <v>29.01034083697316</v>
      </c>
      <c r="J141" s="99">
        <f t="shared" si="26"/>
        <v>81039.335100000011</v>
      </c>
      <c r="K141" s="99">
        <f t="shared" si="27"/>
        <v>2350978.7324526827</v>
      </c>
      <c r="L141" s="99">
        <f t="shared" si="31"/>
        <v>911709.55244515033</v>
      </c>
      <c r="M141" s="92">
        <v>0</v>
      </c>
      <c r="N141" s="92">
        <f t="shared" si="32"/>
        <v>0</v>
      </c>
      <c r="O141" s="92">
        <f t="shared" si="33"/>
        <v>0</v>
      </c>
      <c r="P141" s="99">
        <v>0</v>
      </c>
      <c r="Q141" s="94">
        <f t="shared" si="34"/>
        <v>3262688.2848978331</v>
      </c>
      <c r="R141" s="99">
        <v>0</v>
      </c>
      <c r="S141" s="99">
        <f t="shared" si="28"/>
        <v>3262688.2848978331</v>
      </c>
      <c r="T141" s="94">
        <v>1077324</v>
      </c>
      <c r="U141" s="94">
        <v>199686.6</v>
      </c>
    </row>
    <row r="142" spans="1:21" ht="13.5" customHeight="1" x14ac:dyDescent="0.2">
      <c r="A142" s="95" t="s">
        <v>143</v>
      </c>
      <c r="B142" s="96">
        <v>61001</v>
      </c>
      <c r="C142" s="92">
        <v>320.14999999999998</v>
      </c>
      <c r="D142" s="98">
        <v>0.75</v>
      </c>
      <c r="E142" s="279">
        <f t="shared" si="29"/>
        <v>3</v>
      </c>
      <c r="F142" s="98">
        <f t="shared" si="35"/>
        <v>12.901125</v>
      </c>
      <c r="G142" s="93">
        <f t="shared" si="30"/>
        <v>24.815665300506737</v>
      </c>
      <c r="H142" s="98">
        <f t="shared" si="24"/>
        <v>5.8134465017585672E-2</v>
      </c>
      <c r="I142" s="98">
        <f t="shared" si="25"/>
        <v>24.873799765524321</v>
      </c>
      <c r="J142" s="99">
        <f t="shared" si="26"/>
        <v>81039.335100000011</v>
      </c>
      <c r="K142" s="99">
        <f t="shared" si="27"/>
        <v>2015756.1944086272</v>
      </c>
      <c r="L142" s="99">
        <f t="shared" si="31"/>
        <v>781710.25219166558</v>
      </c>
      <c r="M142" s="92">
        <v>0</v>
      </c>
      <c r="N142" s="92">
        <f t="shared" si="32"/>
        <v>0</v>
      </c>
      <c r="O142" s="92">
        <f t="shared" si="33"/>
        <v>0</v>
      </c>
      <c r="P142" s="99">
        <v>0</v>
      </c>
      <c r="Q142" s="94">
        <f t="shared" si="34"/>
        <v>2797466.4466002928</v>
      </c>
      <c r="R142" s="99">
        <v>0</v>
      </c>
      <c r="S142" s="99">
        <f t="shared" si="28"/>
        <v>2797466.4466002928</v>
      </c>
      <c r="T142" s="94">
        <v>1107548</v>
      </c>
      <c r="U142" s="94">
        <v>172995.02</v>
      </c>
    </row>
    <row r="143" spans="1:21" ht="13.5" customHeight="1" x14ac:dyDescent="0.2">
      <c r="A143" s="95" t="s">
        <v>151</v>
      </c>
      <c r="B143" s="96">
        <v>61002</v>
      </c>
      <c r="C143" s="92">
        <v>609.45000000000005</v>
      </c>
      <c r="D143" s="98">
        <v>7</v>
      </c>
      <c r="E143" s="279">
        <f t="shared" si="29"/>
        <v>28</v>
      </c>
      <c r="F143" s="98">
        <f t="shared" si="35"/>
        <v>15</v>
      </c>
      <c r="G143" s="93">
        <f t="shared" si="30"/>
        <v>40.630000000000003</v>
      </c>
      <c r="H143" s="98">
        <f t="shared" si="24"/>
        <v>0.46666666666666667</v>
      </c>
      <c r="I143" s="98">
        <f t="shared" si="25"/>
        <v>41.096666666666671</v>
      </c>
      <c r="J143" s="99">
        <f t="shared" si="26"/>
        <v>81039.335100000011</v>
      </c>
      <c r="K143" s="99">
        <f t="shared" si="27"/>
        <v>3330446.5414930009</v>
      </c>
      <c r="L143" s="99">
        <f t="shared" si="31"/>
        <v>1291547.1687909856</v>
      </c>
      <c r="M143" s="92">
        <v>0.52</v>
      </c>
      <c r="N143" s="92">
        <f t="shared" si="32"/>
        <v>5.2</v>
      </c>
      <c r="O143" s="92">
        <f t="shared" si="33"/>
        <v>3898.8352000000004</v>
      </c>
      <c r="P143" s="99">
        <v>0</v>
      </c>
      <c r="Q143" s="94">
        <f t="shared" si="34"/>
        <v>4625892.5454839859</v>
      </c>
      <c r="R143" s="99">
        <v>0</v>
      </c>
      <c r="S143" s="99">
        <f t="shared" si="28"/>
        <v>4625892.5454839859</v>
      </c>
      <c r="T143" s="94">
        <v>1807497</v>
      </c>
      <c r="U143" s="94">
        <v>259045.90000000002</v>
      </c>
    </row>
    <row r="144" spans="1:21" ht="13.5" customHeight="1" x14ac:dyDescent="0.2">
      <c r="A144" s="95" t="s">
        <v>184</v>
      </c>
      <c r="B144" s="96">
        <v>61007</v>
      </c>
      <c r="C144" s="92">
        <v>687.23</v>
      </c>
      <c r="D144" s="98">
        <v>0.75</v>
      </c>
      <c r="E144" s="279">
        <f t="shared" si="29"/>
        <v>3</v>
      </c>
      <c r="F144" s="98">
        <f t="shared" si="35"/>
        <v>15</v>
      </c>
      <c r="G144" s="93">
        <f t="shared" si="30"/>
        <v>45.815333333333335</v>
      </c>
      <c r="H144" s="98">
        <f t="shared" si="24"/>
        <v>0.05</v>
      </c>
      <c r="I144" s="98">
        <f t="shared" si="25"/>
        <v>45.865333333333332</v>
      </c>
      <c r="J144" s="99">
        <f t="shared" si="26"/>
        <v>81039.335100000011</v>
      </c>
      <c r="K144" s="99">
        <f t="shared" si="27"/>
        <v>3716896.1174732004</v>
      </c>
      <c r="L144" s="99">
        <f t="shared" si="31"/>
        <v>1441412.314356107</v>
      </c>
      <c r="M144" s="92">
        <v>0.1</v>
      </c>
      <c r="N144" s="92">
        <f t="shared" si="32"/>
        <v>1</v>
      </c>
      <c r="O144" s="92">
        <f t="shared" si="33"/>
        <v>749.77600000000007</v>
      </c>
      <c r="P144" s="99">
        <v>0</v>
      </c>
      <c r="Q144" s="94">
        <f t="shared" si="34"/>
        <v>5159058.2078293068</v>
      </c>
      <c r="R144" s="99">
        <v>0</v>
      </c>
      <c r="S144" s="99">
        <f t="shared" si="28"/>
        <v>5159058.2078293068</v>
      </c>
      <c r="T144" s="94">
        <v>1643420</v>
      </c>
      <c r="U144" s="94">
        <v>280769.33999999997</v>
      </c>
    </row>
    <row r="145" spans="1:21" ht="13.5" customHeight="1" x14ac:dyDescent="0.2">
      <c r="A145" s="95" t="s">
        <v>172</v>
      </c>
      <c r="B145" s="96">
        <v>61008</v>
      </c>
      <c r="C145" s="92">
        <v>1295.17</v>
      </c>
      <c r="D145" s="98">
        <v>12.5</v>
      </c>
      <c r="E145" s="279">
        <f t="shared" si="29"/>
        <v>50</v>
      </c>
      <c r="F145" s="98">
        <f t="shared" si="35"/>
        <v>15</v>
      </c>
      <c r="G145" s="93">
        <f t="shared" si="30"/>
        <v>86.344666666666669</v>
      </c>
      <c r="H145" s="98">
        <f t="shared" si="24"/>
        <v>0.83333333333333337</v>
      </c>
      <c r="I145" s="98">
        <f t="shared" si="25"/>
        <v>87.177999999999997</v>
      </c>
      <c r="J145" s="99">
        <f t="shared" si="26"/>
        <v>81039.335100000011</v>
      </c>
      <c r="K145" s="99">
        <f t="shared" si="27"/>
        <v>7064847.1553478008</v>
      </c>
      <c r="L145" s="99">
        <f t="shared" si="31"/>
        <v>2739747.7268438772</v>
      </c>
      <c r="M145" s="92">
        <v>0.1</v>
      </c>
      <c r="N145" s="92">
        <f t="shared" si="32"/>
        <v>1</v>
      </c>
      <c r="O145" s="92">
        <f t="shared" si="33"/>
        <v>749.77600000000007</v>
      </c>
      <c r="P145" s="99">
        <v>0</v>
      </c>
      <c r="Q145" s="94">
        <f t="shared" si="34"/>
        <v>9805344.658191679</v>
      </c>
      <c r="R145" s="99">
        <v>0</v>
      </c>
      <c r="S145" s="99">
        <f t="shared" si="28"/>
        <v>9805344.658191679</v>
      </c>
      <c r="T145" s="94">
        <v>4619337</v>
      </c>
      <c r="U145" s="94">
        <v>471643.27</v>
      </c>
    </row>
    <row r="146" spans="1:21" ht="13.5" customHeight="1" x14ac:dyDescent="0.2">
      <c r="A146" s="95" t="s">
        <v>292</v>
      </c>
      <c r="B146" s="96">
        <v>62005</v>
      </c>
      <c r="C146" s="92">
        <v>177</v>
      </c>
      <c r="D146" s="98">
        <v>0.5</v>
      </c>
      <c r="E146" s="279">
        <f t="shared" si="29"/>
        <v>2</v>
      </c>
      <c r="F146" s="98">
        <f t="shared" si="35"/>
        <v>12</v>
      </c>
      <c r="G146" s="93">
        <f t="shared" si="30"/>
        <v>14.75</v>
      </c>
      <c r="H146" s="98">
        <f t="shared" si="24"/>
        <v>4.1666666666666664E-2</v>
      </c>
      <c r="I146" s="98">
        <f t="shared" si="25"/>
        <v>14.791666666666666</v>
      </c>
      <c r="J146" s="99">
        <f t="shared" si="26"/>
        <v>81039.335100000011</v>
      </c>
      <c r="K146" s="99">
        <f t="shared" si="27"/>
        <v>1198706.8316875</v>
      </c>
      <c r="L146" s="99">
        <f t="shared" si="31"/>
        <v>464858.50932841247</v>
      </c>
      <c r="M146" s="92">
        <v>0</v>
      </c>
      <c r="N146" s="92">
        <f t="shared" si="32"/>
        <v>0</v>
      </c>
      <c r="O146" s="92">
        <f t="shared" si="33"/>
        <v>0</v>
      </c>
      <c r="P146" s="99">
        <v>0</v>
      </c>
      <c r="Q146" s="94">
        <f t="shared" si="34"/>
        <v>1663565.3410159126</v>
      </c>
      <c r="R146" s="99">
        <v>0</v>
      </c>
      <c r="S146" s="99">
        <f t="shared" si="28"/>
        <v>1663565.3410159126</v>
      </c>
      <c r="T146" s="94">
        <v>1179077</v>
      </c>
      <c r="U146" s="94">
        <v>143992.09</v>
      </c>
    </row>
    <row r="147" spans="1:21" ht="13.5" customHeight="1" x14ac:dyDescent="0.2">
      <c r="A147" s="95" t="s">
        <v>237</v>
      </c>
      <c r="B147" s="96">
        <v>62006</v>
      </c>
      <c r="C147" s="92">
        <v>584.29999999999995</v>
      </c>
      <c r="D147" s="98">
        <v>0</v>
      </c>
      <c r="E147" s="279">
        <f t="shared" si="29"/>
        <v>0</v>
      </c>
      <c r="F147" s="98">
        <f t="shared" si="35"/>
        <v>14.882249999999999</v>
      </c>
      <c r="G147" s="93">
        <f t="shared" si="30"/>
        <v>39.261536394026443</v>
      </c>
      <c r="H147" s="98">
        <f t="shared" si="24"/>
        <v>0</v>
      </c>
      <c r="I147" s="98">
        <f t="shared" si="25"/>
        <v>39.261536394026443</v>
      </c>
      <c r="J147" s="99">
        <f t="shared" si="26"/>
        <v>81039.335100000011</v>
      </c>
      <c r="K147" s="99">
        <f t="shared" si="27"/>
        <v>3181728.8043763549</v>
      </c>
      <c r="L147" s="99">
        <f t="shared" si="31"/>
        <v>1233874.4303371503</v>
      </c>
      <c r="M147" s="92">
        <v>0</v>
      </c>
      <c r="N147" s="92">
        <f t="shared" si="32"/>
        <v>0</v>
      </c>
      <c r="O147" s="92">
        <f t="shared" si="33"/>
        <v>0</v>
      </c>
      <c r="P147" s="99">
        <v>0</v>
      </c>
      <c r="Q147" s="94">
        <f t="shared" si="34"/>
        <v>4415603.234713505</v>
      </c>
      <c r="R147" s="99">
        <v>0</v>
      </c>
      <c r="S147" s="99">
        <f t="shared" si="28"/>
        <v>4415603.234713505</v>
      </c>
      <c r="T147" s="94">
        <v>1201732</v>
      </c>
      <c r="U147" s="94">
        <v>389950.71999999997</v>
      </c>
    </row>
    <row r="148" spans="1:21" ht="13.5" customHeight="1" x14ac:dyDescent="0.2">
      <c r="A148" s="95" t="s">
        <v>196</v>
      </c>
      <c r="B148" s="96">
        <v>63001</v>
      </c>
      <c r="C148" s="92">
        <v>248</v>
      </c>
      <c r="D148" s="98">
        <v>0</v>
      </c>
      <c r="E148" s="279">
        <f t="shared" si="29"/>
        <v>0</v>
      </c>
      <c r="F148" s="98">
        <f t="shared" si="35"/>
        <v>12.36</v>
      </c>
      <c r="G148" s="93">
        <f t="shared" si="30"/>
        <v>20.064724919093852</v>
      </c>
      <c r="H148" s="98">
        <f t="shared" si="24"/>
        <v>0</v>
      </c>
      <c r="I148" s="98">
        <f t="shared" si="25"/>
        <v>20.064724919093852</v>
      </c>
      <c r="J148" s="99">
        <f t="shared" si="26"/>
        <v>81039.335100000011</v>
      </c>
      <c r="K148" s="99">
        <f t="shared" si="27"/>
        <v>1626031.9664077673</v>
      </c>
      <c r="L148" s="99">
        <f t="shared" si="31"/>
        <v>630575.19657293207</v>
      </c>
      <c r="M148" s="92">
        <v>0</v>
      </c>
      <c r="N148" s="92">
        <f t="shared" si="32"/>
        <v>0</v>
      </c>
      <c r="O148" s="92">
        <f t="shared" si="33"/>
        <v>0</v>
      </c>
      <c r="P148" s="99">
        <v>0</v>
      </c>
      <c r="Q148" s="94">
        <f t="shared" si="34"/>
        <v>2256607.1629806994</v>
      </c>
      <c r="R148" s="99">
        <v>0</v>
      </c>
      <c r="S148" s="99">
        <f t="shared" si="28"/>
        <v>2256607.1629806994</v>
      </c>
      <c r="T148" s="94">
        <v>311718</v>
      </c>
      <c r="U148" s="94">
        <v>87851.91</v>
      </c>
    </row>
    <row r="149" spans="1:21" ht="13.5" customHeight="1" x14ac:dyDescent="0.2">
      <c r="A149" s="95" t="s">
        <v>289</v>
      </c>
      <c r="B149" s="96">
        <v>63003</v>
      </c>
      <c r="C149" s="92">
        <v>2783.05</v>
      </c>
      <c r="D149" s="98">
        <v>32.5</v>
      </c>
      <c r="E149" s="279">
        <f t="shared" si="29"/>
        <v>130</v>
      </c>
      <c r="F149" s="98">
        <f t="shared" si="35"/>
        <v>15</v>
      </c>
      <c r="G149" s="93">
        <f t="shared" si="30"/>
        <v>185.53666666666669</v>
      </c>
      <c r="H149" s="98">
        <f t="shared" si="24"/>
        <v>2.1666666666666665</v>
      </c>
      <c r="I149" s="98">
        <f t="shared" si="25"/>
        <v>187.70333333333335</v>
      </c>
      <c r="J149" s="99">
        <f t="shared" si="26"/>
        <v>81039.335100000011</v>
      </c>
      <c r="K149" s="99">
        <f t="shared" si="27"/>
        <v>15211353.329387004</v>
      </c>
      <c r="L149" s="99">
        <f t="shared" si="31"/>
        <v>5898962.82113628</v>
      </c>
      <c r="M149" s="92">
        <v>0</v>
      </c>
      <c r="N149" s="92">
        <f t="shared" si="32"/>
        <v>0</v>
      </c>
      <c r="O149" s="92">
        <f t="shared" si="33"/>
        <v>0</v>
      </c>
      <c r="P149" s="99">
        <v>0</v>
      </c>
      <c r="Q149" s="94">
        <f t="shared" si="34"/>
        <v>21110316.150523283</v>
      </c>
      <c r="R149" s="99">
        <v>0</v>
      </c>
      <c r="S149" s="99">
        <f t="shared" si="28"/>
        <v>21110316.150523283</v>
      </c>
      <c r="T149" s="94">
        <v>7249228</v>
      </c>
      <c r="U149" s="94">
        <v>1093049.8199999998</v>
      </c>
    </row>
    <row r="150" spans="1:21" ht="13.5" customHeight="1" x14ac:dyDescent="0.2">
      <c r="A150" s="95" t="s">
        <v>179</v>
      </c>
      <c r="B150" s="96">
        <v>64002</v>
      </c>
      <c r="C150" s="92">
        <v>362</v>
      </c>
      <c r="D150" s="98">
        <v>0</v>
      </c>
      <c r="E150" s="279">
        <f t="shared" si="29"/>
        <v>0</v>
      </c>
      <c r="F150" s="98">
        <f t="shared" si="35"/>
        <v>13.215</v>
      </c>
      <c r="G150" s="93">
        <f t="shared" si="30"/>
        <v>27.393113885735907</v>
      </c>
      <c r="H150" s="98">
        <f t="shared" si="24"/>
        <v>0</v>
      </c>
      <c r="I150" s="98">
        <f t="shared" si="25"/>
        <v>27.393113885735907</v>
      </c>
      <c r="J150" s="99">
        <f t="shared" si="26"/>
        <v>81039.335100000011</v>
      </c>
      <c r="K150" s="99">
        <f t="shared" si="27"/>
        <v>2219919.7356186155</v>
      </c>
      <c r="L150" s="99">
        <f t="shared" si="31"/>
        <v>860884.87347289908</v>
      </c>
      <c r="M150" s="92">
        <v>0</v>
      </c>
      <c r="N150" s="92">
        <f t="shared" si="32"/>
        <v>0</v>
      </c>
      <c r="O150" s="92">
        <f t="shared" si="33"/>
        <v>0</v>
      </c>
      <c r="P150" s="99">
        <v>0</v>
      </c>
      <c r="Q150" s="94">
        <f t="shared" si="34"/>
        <v>3080804.6090915147</v>
      </c>
      <c r="R150" s="99">
        <v>0</v>
      </c>
      <c r="S150" s="99">
        <f t="shared" si="28"/>
        <v>3080804.6090915147</v>
      </c>
      <c r="T150" s="94">
        <v>340890</v>
      </c>
      <c r="U150" s="94">
        <v>31095.109999999997</v>
      </c>
    </row>
    <row r="151" spans="1:21" ht="13.5" customHeight="1" x14ac:dyDescent="0.2">
      <c r="A151" s="95" t="s">
        <v>293</v>
      </c>
      <c r="B151" s="96">
        <v>65001</v>
      </c>
      <c r="C151" s="92">
        <v>1632.46</v>
      </c>
      <c r="D151" s="98">
        <v>0.75</v>
      </c>
      <c r="E151" s="279">
        <f t="shared" si="29"/>
        <v>3</v>
      </c>
      <c r="F151" s="98">
        <f t="shared" si="35"/>
        <v>15</v>
      </c>
      <c r="G151" s="93">
        <f t="shared" si="30"/>
        <v>108.83066666666667</v>
      </c>
      <c r="H151" s="98">
        <f t="shared" si="24"/>
        <v>0.05</v>
      </c>
      <c r="I151" s="98">
        <f t="shared" si="25"/>
        <v>108.88066666666667</v>
      </c>
      <c r="J151" s="99">
        <f t="shared" si="26"/>
        <v>81039.335100000011</v>
      </c>
      <c r="K151" s="99">
        <f t="shared" si="27"/>
        <v>8823616.8319114018</v>
      </c>
      <c r="L151" s="99">
        <f t="shared" si="31"/>
        <v>3421798.6074152417</v>
      </c>
      <c r="M151" s="92">
        <v>0</v>
      </c>
      <c r="N151" s="92">
        <f t="shared" si="32"/>
        <v>0</v>
      </c>
      <c r="O151" s="92">
        <f t="shared" si="33"/>
        <v>0</v>
      </c>
      <c r="P151" s="99">
        <v>0</v>
      </c>
      <c r="Q151" s="94">
        <f t="shared" si="34"/>
        <v>12245415.439326644</v>
      </c>
      <c r="R151" s="99">
        <v>0</v>
      </c>
      <c r="S151" s="99">
        <f t="shared" si="28"/>
        <v>12245415.439326644</v>
      </c>
      <c r="T151" s="94">
        <v>156273</v>
      </c>
      <c r="U151" s="94">
        <v>386863.53</v>
      </c>
    </row>
    <row r="152" spans="1:21" ht="13.5" customHeight="1" x14ac:dyDescent="0.2">
      <c r="A152" s="95" t="s">
        <v>268</v>
      </c>
      <c r="B152" s="96">
        <v>66001</v>
      </c>
      <c r="C152" s="92">
        <v>1961.5</v>
      </c>
      <c r="D152" s="98">
        <v>3.75</v>
      </c>
      <c r="E152" s="279">
        <f t="shared" si="29"/>
        <v>15</v>
      </c>
      <c r="F152" s="98">
        <f t="shared" si="35"/>
        <v>15</v>
      </c>
      <c r="G152" s="93">
        <f t="shared" si="30"/>
        <v>130.76666666666668</v>
      </c>
      <c r="H152" s="98">
        <f t="shared" si="24"/>
        <v>0.25</v>
      </c>
      <c r="I152" s="98">
        <f t="shared" si="25"/>
        <v>131.01666666666668</v>
      </c>
      <c r="J152" s="99">
        <f t="shared" si="26"/>
        <v>81039.335100000011</v>
      </c>
      <c r="K152" s="99">
        <f t="shared" si="27"/>
        <v>10617503.553685002</v>
      </c>
      <c r="L152" s="99">
        <f t="shared" si="31"/>
        <v>4117467.8781190435</v>
      </c>
      <c r="M152" s="92">
        <v>0</v>
      </c>
      <c r="N152" s="92">
        <f t="shared" si="32"/>
        <v>0</v>
      </c>
      <c r="O152" s="92">
        <f t="shared" si="33"/>
        <v>0</v>
      </c>
      <c r="P152" s="99">
        <v>9342</v>
      </c>
      <c r="Q152" s="94">
        <f t="shared" si="34"/>
        <v>14744313.431804046</v>
      </c>
      <c r="R152" s="99">
        <v>0</v>
      </c>
      <c r="S152" s="99">
        <f t="shared" si="28"/>
        <v>14744313.431804046</v>
      </c>
      <c r="T152" s="94">
        <v>383222</v>
      </c>
      <c r="U152" s="94">
        <v>380331.13999999996</v>
      </c>
    </row>
    <row r="153" spans="1:21" x14ac:dyDescent="0.2">
      <c r="A153" s="100"/>
      <c r="B153" s="100"/>
      <c r="C153" s="97">
        <f>SUM(C6:C152)</f>
        <v>136093.03</v>
      </c>
      <c r="D153" s="98">
        <f>SUM(D6:D152)</f>
        <v>1456.5</v>
      </c>
      <c r="E153" s="98">
        <f>SUM(E6:E152)</f>
        <v>5826</v>
      </c>
      <c r="F153" s="101"/>
      <c r="G153" s="98">
        <f>SUM(G6:G152)</f>
        <v>9377.1795921088687</v>
      </c>
      <c r="H153" s="101"/>
      <c r="I153" s="98">
        <f>SUM(I6:I152)</f>
        <v>9476.471982871426</v>
      </c>
      <c r="J153" s="99"/>
      <c r="K153" s="101"/>
      <c r="L153" s="101"/>
      <c r="M153" s="97">
        <f>SUM(M6:M152)</f>
        <v>19.47</v>
      </c>
      <c r="N153" s="97">
        <f>SUM(N6:N152)</f>
        <v>194.7</v>
      </c>
      <c r="O153" s="97"/>
      <c r="P153" s="99">
        <f>SUM(P6:P152)</f>
        <v>226927</v>
      </c>
      <c r="Q153" s="99">
        <f>SUM(Q6:Q152)</f>
        <v>1066157495.1464058</v>
      </c>
      <c r="R153" s="99">
        <f t="shared" ref="R153:S153" si="36">SUM(R6:R152)</f>
        <v>693722.42732142867</v>
      </c>
      <c r="S153" s="99">
        <f t="shared" si="36"/>
        <v>1065888224.1157589</v>
      </c>
      <c r="T153" s="94">
        <f>SUM(T6:T152)</f>
        <v>421700051</v>
      </c>
      <c r="U153" s="94">
        <f>SUM(U6:U152)</f>
        <v>51762825.084000021</v>
      </c>
    </row>
  </sheetData>
  <sheetProtection algorithmName="SHA-512" hashValue="MlGMSrTNG6rfeeWA8LmmGJdDFCDOwepfDot6+7iEwc9j5KQxIP4kEcGqP8m5c99fMvqNPQ+NS9fWp6nt86AlIw==" saltValue="RYTyAyhcJa6/nTzoUnySTA==" spinCount="100000" sheet="1" objects="1" scenarios="1"/>
  <pageMargins left="0.25" right="0.25" top="0.39" bottom="0.45" header="0.17" footer="0.16"/>
  <pageSetup scale="70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GSA Estimate Calculator</vt:lpstr>
      <vt:lpstr>COMPARE</vt:lpstr>
      <vt:lpstr>SAFE History</vt:lpstr>
      <vt:lpstr>DistrictList</vt:lpstr>
      <vt:lpstr>OtherRevenueLocalEffortFY27</vt:lpstr>
      <vt:lpstr>Pay 2026</vt:lpstr>
      <vt:lpstr>FY2026</vt:lpstr>
      <vt:lpstr>District</vt:lpstr>
      <vt:lpstr>COMPARE!Print_Area</vt:lpstr>
      <vt:lpstr>'FY2026'!Print_Area</vt:lpstr>
      <vt:lpstr>'GSA Estimate Calculator'!Print_Area</vt:lpstr>
      <vt:lpstr>OtherRevenueLocalEffortFY27!Print_Area</vt:lpstr>
      <vt:lpstr>'SAFE History'!Print_Area</vt:lpstr>
      <vt:lpstr>'FY2026'!Print_Titles</vt:lpstr>
      <vt:lpstr>OtherRevenueLocalEffortFY27!Print_Titles</vt:lpstr>
      <vt:lpstr>'SAFE History'!Print_Titles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 Calculator: General State Aid</dc:title>
  <dc:creator>Leiferman, Bobbi</dc:creator>
  <cp:lastModifiedBy>Odean-Carlin, Kodi</cp:lastModifiedBy>
  <cp:lastPrinted>2026-02-10T22:59:05Z</cp:lastPrinted>
  <dcterms:created xsi:type="dcterms:W3CDTF">2015-01-14T17:01:32Z</dcterms:created>
  <dcterms:modified xsi:type="dcterms:W3CDTF">2026-02-11T12:29:57Z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2025-03-14T21:39:55Z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89583df0-40a0-40cd-9a01-02a12d4f1814</vt:lpwstr>
  </property>
  <property fmtid="{D5CDD505-2E9C-101B-9397-08002B2CF9AE}" pid="8" name="MSIP_Label_ec3b1a8e-41ed-4bc7-92d1-0305fbefd661_ContentBits">
    <vt:lpwstr>0</vt:lpwstr>
  </property>
</Properties>
</file>