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N:\State Aid\1. State Aid Calculations\FY2026 State Aid\Budget Documents\"/>
    </mc:Choice>
  </mc:AlternateContent>
  <xr:revisionPtr revIDLastSave="0" documentId="13_ncr:1_{146C7491-70BB-432D-BE07-02FC5246B341}" xr6:coauthVersionLast="47" xr6:coauthVersionMax="47" xr10:uidLastSave="{00000000-0000-0000-0000-000000000000}"/>
  <bookViews>
    <workbookView xWindow="-120" yWindow="-120" windowWidth="29040" windowHeight="15720" tabRatio="703" xr2:uid="{00000000-000D-0000-FFFF-FFFF00000000}"/>
  </bookViews>
  <sheets>
    <sheet name="GSA Estimate Calculator" sheetId="1" r:id="rId1"/>
    <sheet name="COMPARE" sheetId="22" r:id="rId2"/>
    <sheet name="SAFE History" sheetId="10" r:id="rId3"/>
    <sheet name="DistrictList" sheetId="21" state="hidden" r:id="rId4"/>
    <sheet name="OtherRevenueLocalEffortFY26" sheetId="38" r:id="rId5"/>
    <sheet name="Pay 2025" sheetId="39" r:id="rId6"/>
    <sheet name="OthCounts" sheetId="37" state="hidden" r:id="rId7"/>
    <sheet name="FY2025" sheetId="35" state="hidden" r:id="rId8"/>
  </sheets>
  <externalReferences>
    <externalReference r:id="rId9"/>
    <externalReference r:id="rId10"/>
    <externalReference r:id="rId11"/>
  </externalReferences>
  <definedNames>
    <definedName name="_51002" localSheetId="1">[1]Districts!#REF!</definedName>
    <definedName name="_51002" localSheetId="4">[1]Districts!#REF!</definedName>
    <definedName name="_51002" localSheetId="2">[1]Districts!#REF!</definedName>
    <definedName name="_51002">[1]Districts!#REF!</definedName>
    <definedName name="_xlnm._FilterDatabase" localSheetId="7" hidden="1">'FY2025'!$A$5:$R$155</definedName>
    <definedName name="_xlnm._FilterDatabase" localSheetId="4" hidden="1">OtherRevenueLocalEffortFY26!$A$4:$K$4</definedName>
    <definedName name="_xlnm._FilterDatabase" localSheetId="5" hidden="1">'Pay 2025'!$A$6:$Z$154</definedName>
    <definedName name="_xlnm._FilterDatabase" localSheetId="2" hidden="1">'SAFE History'!$A$2:$F$149</definedName>
    <definedName name="_Key1" localSheetId="1" hidden="1">#REF!</definedName>
    <definedName name="_Key1" localSheetId="7" hidden="1">#REF!</definedName>
    <definedName name="_Key1" localSheetId="4" hidden="1">#REF!</definedName>
    <definedName name="_Key1" localSheetId="5" hidden="1">#REF!</definedName>
    <definedName name="_Key1" localSheetId="2" hidden="1">#REF!</definedName>
    <definedName name="_Key1" hidden="1">#REF!</definedName>
    <definedName name="_Order1" hidden="1">255</definedName>
    <definedName name="_Sort" localSheetId="1" hidden="1">#REF!</definedName>
    <definedName name="_Sort" localSheetId="7" hidden="1">#REF!</definedName>
    <definedName name="_Sort" localSheetId="4" hidden="1">#REF!</definedName>
    <definedName name="_Sort" localSheetId="5" hidden="1">#REF!</definedName>
    <definedName name="_Sort" localSheetId="2" hidden="1">#REF!</definedName>
    <definedName name="_Sort" hidden="1">#REF!</definedName>
    <definedName name="Acc_Enrollment" localSheetId="1">#REF!</definedName>
    <definedName name="Acc_Enrollment" localSheetId="7">#REF!</definedName>
    <definedName name="Acc_Enrollment" localSheetId="4">#REF!</definedName>
    <definedName name="Acc_Enrollment" localSheetId="5">#REF!</definedName>
    <definedName name="Acc_Enrollment" localSheetId="2">#REF!</definedName>
    <definedName name="Acc_Enrollment">#REF!</definedName>
    <definedName name="ACT_COMPOSITE" localSheetId="1">#REF!</definedName>
    <definedName name="ACT_COMPOSITE" localSheetId="7">#REF!</definedName>
    <definedName name="ACT_COMPOSITE" localSheetId="4">#REF!</definedName>
    <definedName name="ACT_COMPOSITE" localSheetId="5">#REF!</definedName>
    <definedName name="ACT_COMPOSITE" localSheetId="2">#REF!</definedName>
    <definedName name="ACT_COMPOSITE">#REF!</definedName>
    <definedName name="ACT_NUMBER_TESTED" localSheetId="1">#REF!</definedName>
    <definedName name="ACT_NUMBER_TESTED" localSheetId="7">#REF!</definedName>
    <definedName name="ACT_NUMBER_TESTED" localSheetId="4">#REF!</definedName>
    <definedName name="ACT_NUMBER_TESTED" localSheetId="5">#REF!</definedName>
    <definedName name="ACT_NUMBER_TESTED" localSheetId="2">#REF!</definedName>
    <definedName name="ACT_NUMBER_TESTED">#REF!</definedName>
    <definedName name="All_Other" localSheetId="1">#REF!</definedName>
    <definedName name="All_Other" localSheetId="7">#REF!</definedName>
    <definedName name="All_Other" localSheetId="4">#REF!</definedName>
    <definedName name="All_Other" localSheetId="5">#REF!</definedName>
    <definedName name="All_Other" localSheetId="2">#REF!</definedName>
    <definedName name="All_Other">#REF!</definedName>
    <definedName name="ATTENDANCE_RATES" localSheetId="1">#REF!</definedName>
    <definedName name="ATTENDANCE_RATES" localSheetId="7">#REF!</definedName>
    <definedName name="ATTENDANCE_RATES" localSheetId="4">#REF!</definedName>
    <definedName name="ATTENDANCE_RATES" localSheetId="5">#REF!</definedName>
    <definedName name="ATTENDANCE_RATES" localSheetId="2">#REF!</definedName>
    <definedName name="ATTENDANCE_RATES">#REF!</definedName>
    <definedName name="Average_Daily_Attendance" localSheetId="1">#REF!</definedName>
    <definedName name="Average_Daily_Attendance" localSheetId="7">#REF!</definedName>
    <definedName name="Average_Daily_Attendance" localSheetId="4">#REF!</definedName>
    <definedName name="Average_Daily_Attendance" localSheetId="5">#REF!</definedName>
    <definedName name="Average_Daily_Attendance" localSheetId="2">#REF!</definedName>
    <definedName name="Average_Daily_Attendance">#REF!</definedName>
    <definedName name="Average_Daily_Membership" localSheetId="1">#REF!</definedName>
    <definedName name="Average_Daily_Membership" localSheetId="7">#REF!</definedName>
    <definedName name="Average_Daily_Membership" localSheetId="4">#REF!</definedName>
    <definedName name="Average_Daily_Membership" localSheetId="5">#REF!</definedName>
    <definedName name="Average_Daily_Membership" localSheetId="2">#REF!</definedName>
    <definedName name="Average_Daily_Membership">#REF!</definedName>
    <definedName name="Average_District_Salary" localSheetId="1">#REF!</definedName>
    <definedName name="Average_District_Salary" localSheetId="7">#REF!</definedName>
    <definedName name="Average_District_Salary" localSheetId="4">#REF!</definedName>
    <definedName name="Average_District_Salary" localSheetId="5">#REF!</definedName>
    <definedName name="Average_District_Salary" localSheetId="2">#REF!</definedName>
    <definedName name="Average_District_Salary">#REF!</definedName>
    <definedName name="Average_Local_Exper" localSheetId="1">#REF!</definedName>
    <definedName name="Average_Local_Exper" localSheetId="7">#REF!</definedName>
    <definedName name="Average_Local_Exper" localSheetId="4">#REF!</definedName>
    <definedName name="Average_Local_Exper" localSheetId="5">#REF!</definedName>
    <definedName name="Average_Local_Exper" localSheetId="2">#REF!</definedName>
    <definedName name="Average_Local_Exper">#REF!</definedName>
    <definedName name="AVERAGE_SCHOOL_SALARY" localSheetId="1">#REF!</definedName>
    <definedName name="AVERAGE_SCHOOL_SALARY" localSheetId="7">#REF!</definedName>
    <definedName name="AVERAGE_SCHOOL_SALARY" localSheetId="4">#REF!</definedName>
    <definedName name="AVERAGE_SCHOOL_SALARY" localSheetId="5">#REF!</definedName>
    <definedName name="AVERAGE_SCHOOL_SALARY" localSheetId="2">#REF!</definedName>
    <definedName name="AVERAGE_SCHOOL_SALARY">#REF!</definedName>
    <definedName name="Average_Total_Exper" localSheetId="1">#REF!</definedName>
    <definedName name="Average_Total_Exper" localSheetId="7">#REF!</definedName>
    <definedName name="Average_Total_Exper" localSheetId="4">#REF!</definedName>
    <definedName name="Average_Total_Exper" localSheetId="5">#REF!</definedName>
    <definedName name="Average_Total_Exper" localSheetId="2">#REF!</definedName>
    <definedName name="Average_Total_Exper">#REF!</definedName>
    <definedName name="Counselor_FTE" localSheetId="1">#REF!</definedName>
    <definedName name="Counselor_FTE" localSheetId="7">#REF!</definedName>
    <definedName name="Counselor_FTE" localSheetId="4">#REF!</definedName>
    <definedName name="Counselor_FTE" localSheetId="5">#REF!</definedName>
    <definedName name="Counselor_FTE" localSheetId="2">#REF!</definedName>
    <definedName name="Counselor_FTE">#REF!</definedName>
    <definedName name="Counselor_Ratio" localSheetId="1">#REF!</definedName>
    <definedName name="Counselor_Ratio" localSheetId="7">#REF!</definedName>
    <definedName name="Counselor_Ratio" localSheetId="4">#REF!</definedName>
    <definedName name="Counselor_Ratio" localSheetId="5">#REF!</definedName>
    <definedName name="Counselor_Ratio" localSheetId="2">#REF!</definedName>
    <definedName name="Counselor_Ratio">#REF!</definedName>
    <definedName name="County_Gen_Fund_Revenue" localSheetId="1">#REF!</definedName>
    <definedName name="County_Gen_Fund_Revenue" localSheetId="7">#REF!</definedName>
    <definedName name="County_Gen_Fund_Revenue" localSheetId="4">#REF!</definedName>
    <definedName name="County_Gen_Fund_Revenue" localSheetId="5">#REF!</definedName>
    <definedName name="County_Gen_Fund_Revenue" localSheetId="2">#REF!</definedName>
    <definedName name="County_Gen_Fund_Revenue">#REF!</definedName>
    <definedName name="County_Spec_Fund_Revenue" localSheetId="1">#REF!</definedName>
    <definedName name="County_Spec_Fund_Revenue" localSheetId="7">#REF!</definedName>
    <definedName name="County_Spec_Fund_Revenue" localSheetId="4">#REF!</definedName>
    <definedName name="County_Spec_Fund_Revenue" localSheetId="5">#REF!</definedName>
    <definedName name="County_Spec_Fund_Revenue" localSheetId="2">#REF!</definedName>
    <definedName name="County_Spec_Fund_Revenue">#REF!</definedName>
    <definedName name="_xlnm.Criteria" localSheetId="1">#REF!</definedName>
    <definedName name="_xlnm.Criteria" localSheetId="7">#REF!</definedName>
    <definedName name="_xlnm.Criteria" localSheetId="4">#REF!</definedName>
    <definedName name="_xlnm.Criteria" localSheetId="5">#REF!</definedName>
    <definedName name="_xlnm.Criteria" localSheetId="2">#REF!</definedName>
    <definedName name="_xlnm.Criteria">#REF!</definedName>
    <definedName name="Cur_Select_01" localSheetId="1">#REF!</definedName>
    <definedName name="Cur_Select_01" localSheetId="7">#REF!</definedName>
    <definedName name="Cur_Select_01" localSheetId="4">#REF!</definedName>
    <definedName name="Cur_Select_01" localSheetId="5">#REF!</definedName>
    <definedName name="Cur_Select_01" localSheetId="2">#REF!</definedName>
    <definedName name="Cur_Select_01">#REF!</definedName>
    <definedName name="Cur_Select_02" localSheetId="1">#REF!</definedName>
    <definedName name="Cur_Select_02" localSheetId="7">#REF!</definedName>
    <definedName name="Cur_Select_02" localSheetId="4">#REF!</definedName>
    <definedName name="Cur_Select_02" localSheetId="5">#REF!</definedName>
    <definedName name="Cur_Select_02" localSheetId="2">#REF!</definedName>
    <definedName name="Cur_Select_02">#REF!</definedName>
    <definedName name="_xlnm.Database" localSheetId="1">#REF!</definedName>
    <definedName name="_xlnm.Database" localSheetId="7">#REF!</definedName>
    <definedName name="_xlnm.Database" localSheetId="4">#REF!</definedName>
    <definedName name="_xlnm.Database" localSheetId="5">#REF!</definedName>
    <definedName name="_xlnm.Database" localSheetId="2">#REF!</definedName>
    <definedName name="_xlnm.Database">#REF!</definedName>
    <definedName name="Database2" localSheetId="1">#REF!</definedName>
    <definedName name="Database2" localSheetId="7">#REF!</definedName>
    <definedName name="Database2" localSheetId="4">#REF!</definedName>
    <definedName name="Database2" localSheetId="5">#REF!</definedName>
    <definedName name="Database2" localSheetId="2">#REF!</definedName>
    <definedName name="Database2">#REF!</definedName>
    <definedName name="District" localSheetId="1">#REF!</definedName>
    <definedName name="District" localSheetId="7">#REF!</definedName>
    <definedName name="District" localSheetId="4">#REF!</definedName>
    <definedName name="District" localSheetId="5">#REF!</definedName>
    <definedName name="District" localSheetId="2">#REF!</definedName>
    <definedName name="District">'GSA Estimate Calculator'!$B$2:$B$147</definedName>
    <definedName name="District_Attendance_Rate" localSheetId="1">#REF!</definedName>
    <definedName name="District_Attendance_Rate" localSheetId="7">#REF!</definedName>
    <definedName name="District_Attendance_Rate" localSheetId="4">#REF!</definedName>
    <definedName name="District_Attendance_Rate" localSheetId="5">#REF!</definedName>
    <definedName name="District_Attendance_Rate" localSheetId="2">#REF!</definedName>
    <definedName name="District_Attendance_Rate">#REF!</definedName>
    <definedName name="District_Code" localSheetId="1">#REF!</definedName>
    <definedName name="District_Code" localSheetId="7">#REF!</definedName>
    <definedName name="District_Code" localSheetId="4">#REF!</definedName>
    <definedName name="District_Code" localSheetId="5">#REF!</definedName>
    <definedName name="District_Code" localSheetId="2">#REF!</definedName>
    <definedName name="District_Code">#REF!</definedName>
    <definedName name="District_Name" localSheetId="1">#REF!</definedName>
    <definedName name="District_Name" localSheetId="7">#REF!</definedName>
    <definedName name="District_Name" localSheetId="4">#REF!</definedName>
    <definedName name="District_Name" localSheetId="5">#REF!</definedName>
    <definedName name="District_Name" localSheetId="2">#REF!</definedName>
    <definedName name="District_Name">#REF!</definedName>
    <definedName name="DROPOUTS" localSheetId="1">#REF!</definedName>
    <definedName name="DROPOUTS" localSheetId="7">#REF!</definedName>
    <definedName name="DROPOUTS" localSheetId="4">#REF!</definedName>
    <definedName name="DROPOUTS" localSheetId="5">#REF!</definedName>
    <definedName name="DROPOUTS" localSheetId="2">#REF!</definedName>
    <definedName name="DROPOUTS">#REF!</definedName>
    <definedName name="Dropouts_Rate_10" localSheetId="1">#REF!</definedName>
    <definedName name="Dropouts_Rate_10" localSheetId="7">#REF!</definedName>
    <definedName name="Dropouts_Rate_10" localSheetId="4">#REF!</definedName>
    <definedName name="Dropouts_Rate_10" localSheetId="5">#REF!</definedName>
    <definedName name="Dropouts_Rate_10" localSheetId="2">#REF!</definedName>
    <definedName name="Dropouts_Rate_10">#REF!</definedName>
    <definedName name="Dropouts_Rate_11" localSheetId="1">#REF!</definedName>
    <definedName name="Dropouts_Rate_11" localSheetId="7">#REF!</definedName>
    <definedName name="Dropouts_Rate_11" localSheetId="4">#REF!</definedName>
    <definedName name="Dropouts_Rate_11" localSheetId="5">#REF!</definedName>
    <definedName name="Dropouts_Rate_11" localSheetId="2">#REF!</definedName>
    <definedName name="Dropouts_Rate_11">#REF!</definedName>
    <definedName name="Dropouts_Rate_12" localSheetId="1">#REF!</definedName>
    <definedName name="Dropouts_Rate_12" localSheetId="7">#REF!</definedName>
    <definedName name="Dropouts_Rate_12" localSheetId="4">#REF!</definedName>
    <definedName name="Dropouts_Rate_12" localSheetId="5">#REF!</definedName>
    <definedName name="Dropouts_Rate_12" localSheetId="2">#REF!</definedName>
    <definedName name="Dropouts_Rate_12">#REF!</definedName>
    <definedName name="Dropouts_Rate_7" localSheetId="1">#REF!</definedName>
    <definedName name="Dropouts_Rate_7" localSheetId="7">#REF!</definedName>
    <definedName name="Dropouts_Rate_7" localSheetId="4">#REF!</definedName>
    <definedName name="Dropouts_Rate_7" localSheetId="5">#REF!</definedName>
    <definedName name="Dropouts_Rate_7" localSheetId="2">#REF!</definedName>
    <definedName name="Dropouts_Rate_7">#REF!</definedName>
    <definedName name="Dropouts_Rate_8" localSheetId="1">#REF!</definedName>
    <definedName name="Dropouts_Rate_8" localSheetId="7">#REF!</definedName>
    <definedName name="Dropouts_Rate_8" localSheetId="4">#REF!</definedName>
    <definedName name="Dropouts_Rate_8" localSheetId="5">#REF!</definedName>
    <definedName name="Dropouts_Rate_8" localSheetId="2">#REF!</definedName>
    <definedName name="Dropouts_Rate_8">#REF!</definedName>
    <definedName name="Dropouts_Rate_9" localSheetId="1">#REF!</definedName>
    <definedName name="Dropouts_Rate_9" localSheetId="7">#REF!</definedName>
    <definedName name="Dropouts_Rate_9" localSheetId="4">#REF!</definedName>
    <definedName name="Dropouts_Rate_9" localSheetId="5">#REF!</definedName>
    <definedName name="Dropouts_Rate_9" localSheetId="2">#REF!</definedName>
    <definedName name="Dropouts_Rate_9">#REF!</definedName>
    <definedName name="DUX" localSheetId="1">#REF!</definedName>
    <definedName name="DUX" localSheetId="7">#REF!</definedName>
    <definedName name="DUX" localSheetId="4">#REF!</definedName>
    <definedName name="DUX" localSheetId="5">#REF!</definedName>
    <definedName name="DUX" localSheetId="2">#REF!</definedName>
    <definedName name="DUX">#REF!</definedName>
    <definedName name="Employee_Benefits" localSheetId="1">#REF!</definedName>
    <definedName name="Employee_Benefits" localSheetId="7">#REF!</definedName>
    <definedName name="Employee_Benefits" localSheetId="4">#REF!</definedName>
    <definedName name="Employee_Benefits" localSheetId="5">#REF!</definedName>
    <definedName name="Employee_Benefits" localSheetId="2">#REF!</definedName>
    <definedName name="Employee_Benefits">#REF!</definedName>
    <definedName name="Employee_Salaries" localSheetId="1">#REF!</definedName>
    <definedName name="Employee_Salaries" localSheetId="7">#REF!</definedName>
    <definedName name="Employee_Salaries" localSheetId="4">#REF!</definedName>
    <definedName name="Employee_Salaries" localSheetId="5">#REF!</definedName>
    <definedName name="Employee_Salaries" localSheetId="2">#REF!</definedName>
    <definedName name="Employee_Salaries">#REF!</definedName>
    <definedName name="End_Year_Enrollment" localSheetId="1">#REF!</definedName>
    <definedName name="End_Year_Enrollment" localSheetId="7">#REF!</definedName>
    <definedName name="End_Year_Enrollment" localSheetId="4">#REF!</definedName>
    <definedName name="End_Year_Enrollment" localSheetId="5">#REF!</definedName>
    <definedName name="End_Year_Enrollment" localSheetId="2">#REF!</definedName>
    <definedName name="End_Year_Enrollment">#REF!</definedName>
    <definedName name="Expend_Per_Pupil" localSheetId="1">#REF!</definedName>
    <definedName name="Expend_Per_Pupil" localSheetId="7">#REF!</definedName>
    <definedName name="Expend_Per_Pupil" localSheetId="4">#REF!</definedName>
    <definedName name="Expend_Per_Pupil" localSheetId="5">#REF!</definedName>
    <definedName name="Expend_Per_Pupil" localSheetId="2">#REF!</definedName>
    <definedName name="Expend_Per_Pupil">#REF!</definedName>
    <definedName name="FALL_ENROLLMENT" localSheetId="1">#REF!</definedName>
    <definedName name="FALL_ENROLLMENT" localSheetId="7">#REF!</definedName>
    <definedName name="FALL_ENROLLMENT" localSheetId="4">#REF!</definedName>
    <definedName name="FALL_ENROLLMENT" localSheetId="5">#REF!</definedName>
    <definedName name="FALL_ENROLLMENT" localSheetId="2">#REF!</definedName>
    <definedName name="FALL_ENROLLMENT">#REF!</definedName>
    <definedName name="Federal_Gen_Fund_Revenue" localSheetId="1">#REF!</definedName>
    <definedName name="Federal_Gen_Fund_Revenue" localSheetId="7">#REF!</definedName>
    <definedName name="Federal_Gen_Fund_Revenue" localSheetId="4">#REF!</definedName>
    <definedName name="Federal_Gen_Fund_Revenue" localSheetId="5">#REF!</definedName>
    <definedName name="Federal_Gen_Fund_Revenue" localSheetId="2">#REF!</definedName>
    <definedName name="Federal_Gen_Fund_Revenue">#REF!</definedName>
    <definedName name="Federal_Spec_Fund_Revenue" localSheetId="1">#REF!</definedName>
    <definedName name="Federal_Spec_Fund_Revenue" localSheetId="7">#REF!</definedName>
    <definedName name="Federal_Spec_Fund_Revenue" localSheetId="4">#REF!</definedName>
    <definedName name="Federal_Spec_Fund_Revenue" localSheetId="5">#REF!</definedName>
    <definedName name="Federal_Spec_Fund_Revenue" localSheetId="2">#REF!</definedName>
    <definedName name="Federal_Spec_Fund_Revenue">#REF!</definedName>
    <definedName name="Fill1" localSheetId="1">#REF!</definedName>
    <definedName name="Fill1" localSheetId="7">#REF!</definedName>
    <definedName name="Fill1" localSheetId="4">#REF!</definedName>
    <definedName name="Fill1" localSheetId="5">#REF!</definedName>
    <definedName name="Fill1" localSheetId="2">#REF!</definedName>
    <definedName name="Fill1">#REF!</definedName>
    <definedName name="Fill10" localSheetId="1">#REF!</definedName>
    <definedName name="Fill10" localSheetId="7">#REF!</definedName>
    <definedName name="Fill10" localSheetId="4">#REF!</definedName>
    <definedName name="Fill10" localSheetId="5">#REF!</definedName>
    <definedName name="Fill10" localSheetId="2">#REF!</definedName>
    <definedName name="Fill10">#REF!</definedName>
    <definedName name="Fill11" localSheetId="1">#REF!</definedName>
    <definedName name="Fill11" localSheetId="7">#REF!</definedName>
    <definedName name="Fill11" localSheetId="4">#REF!</definedName>
    <definedName name="Fill11" localSheetId="5">#REF!</definedName>
    <definedName name="Fill11" localSheetId="2">#REF!</definedName>
    <definedName name="Fill11">#REF!</definedName>
    <definedName name="Fill12" localSheetId="1">#REF!</definedName>
    <definedName name="Fill12" localSheetId="7">#REF!</definedName>
    <definedName name="Fill12" localSheetId="4">#REF!</definedName>
    <definedName name="Fill12" localSheetId="5">#REF!</definedName>
    <definedName name="Fill12" localSheetId="2">#REF!</definedName>
    <definedName name="Fill12">#REF!</definedName>
    <definedName name="Fill13" localSheetId="1">#REF!</definedName>
    <definedName name="Fill13" localSheetId="7">#REF!</definedName>
    <definedName name="Fill13" localSheetId="4">#REF!</definedName>
    <definedName name="Fill13" localSheetId="5">#REF!</definedName>
    <definedName name="Fill13" localSheetId="2">#REF!</definedName>
    <definedName name="Fill13">#REF!</definedName>
    <definedName name="Fill14" localSheetId="1">#REF!</definedName>
    <definedName name="Fill14" localSheetId="7">#REF!</definedName>
    <definedName name="Fill14" localSheetId="4">#REF!</definedName>
    <definedName name="Fill14" localSheetId="5">#REF!</definedName>
    <definedName name="Fill14" localSheetId="2">#REF!</definedName>
    <definedName name="Fill14">#REF!</definedName>
    <definedName name="Fill15" localSheetId="1">#REF!</definedName>
    <definedName name="Fill15" localSheetId="7">#REF!</definedName>
    <definedName name="Fill15" localSheetId="4">#REF!</definedName>
    <definedName name="Fill15" localSheetId="5">#REF!</definedName>
    <definedName name="Fill15" localSheetId="2">#REF!</definedName>
    <definedName name="Fill15">#REF!</definedName>
    <definedName name="Fill16" localSheetId="1">#REF!</definedName>
    <definedName name="Fill16" localSheetId="7">#REF!</definedName>
    <definedName name="Fill16" localSheetId="4">#REF!</definedName>
    <definedName name="Fill16" localSheetId="5">#REF!</definedName>
    <definedName name="Fill16" localSheetId="2">#REF!</definedName>
    <definedName name="Fill16">#REF!</definedName>
    <definedName name="Fill17" localSheetId="1">#REF!</definedName>
    <definedName name="Fill17" localSheetId="7">#REF!</definedName>
    <definedName name="Fill17" localSheetId="4">#REF!</definedName>
    <definedName name="Fill17" localSheetId="5">#REF!</definedName>
    <definedName name="Fill17" localSheetId="2">#REF!</definedName>
    <definedName name="Fill17">#REF!</definedName>
    <definedName name="Fill2" localSheetId="1">#REF!</definedName>
    <definedName name="Fill2" localSheetId="7">#REF!</definedName>
    <definedName name="Fill2" localSheetId="4">#REF!</definedName>
    <definedName name="Fill2" localSheetId="5">#REF!</definedName>
    <definedName name="Fill2" localSheetId="2">#REF!</definedName>
    <definedName name="Fill2">#REF!</definedName>
    <definedName name="Fill3" localSheetId="1">#REF!</definedName>
    <definedName name="Fill3" localSheetId="7">#REF!</definedName>
    <definedName name="Fill3" localSheetId="4">#REF!</definedName>
    <definedName name="Fill3" localSheetId="5">#REF!</definedName>
    <definedName name="Fill3" localSheetId="2">#REF!</definedName>
    <definedName name="Fill3">#REF!</definedName>
    <definedName name="Fill4" localSheetId="1">#REF!</definedName>
    <definedName name="Fill4" localSheetId="7">#REF!</definedName>
    <definedName name="Fill4" localSheetId="4">#REF!</definedName>
    <definedName name="Fill4" localSheetId="5">#REF!</definedName>
    <definedName name="Fill4" localSheetId="2">#REF!</definedName>
    <definedName name="Fill4">#REF!</definedName>
    <definedName name="Fill5" localSheetId="1">#REF!</definedName>
    <definedName name="Fill5" localSheetId="7">#REF!</definedName>
    <definedName name="Fill5" localSheetId="4">#REF!</definedName>
    <definedName name="Fill5" localSheetId="5">#REF!</definedName>
    <definedName name="Fill5" localSheetId="2">#REF!</definedName>
    <definedName name="Fill5">#REF!</definedName>
    <definedName name="Fill6" localSheetId="1">#REF!</definedName>
    <definedName name="Fill6" localSheetId="7">#REF!</definedName>
    <definedName name="Fill6" localSheetId="4">#REF!</definedName>
    <definedName name="Fill6" localSheetId="5">#REF!</definedName>
    <definedName name="Fill6" localSheetId="2">#REF!</definedName>
    <definedName name="Fill6">#REF!</definedName>
    <definedName name="Fill7" localSheetId="1">#REF!</definedName>
    <definedName name="Fill7" localSheetId="7">#REF!</definedName>
    <definedName name="Fill7" localSheetId="4">#REF!</definedName>
    <definedName name="Fill7" localSheetId="5">#REF!</definedName>
    <definedName name="Fill7" localSheetId="2">#REF!</definedName>
    <definedName name="Fill7">#REF!</definedName>
    <definedName name="Fill8" localSheetId="1">#REF!</definedName>
    <definedName name="Fill8" localSheetId="7">#REF!</definedName>
    <definedName name="Fill8" localSheetId="4">#REF!</definedName>
    <definedName name="Fill8" localSheetId="5">#REF!</definedName>
    <definedName name="Fill8" localSheetId="2">#REF!</definedName>
    <definedName name="Fill8">#REF!</definedName>
    <definedName name="Fill9" localSheetId="1">#REF!</definedName>
    <definedName name="Fill9" localSheetId="7">#REF!</definedName>
    <definedName name="Fill9" localSheetId="4">#REF!</definedName>
    <definedName name="Fill9" localSheetId="5">#REF!</definedName>
    <definedName name="Fill9" localSheetId="2">#REF!</definedName>
    <definedName name="Fill9">#REF!</definedName>
    <definedName name="Grade_Span" localSheetId="1">#REF!</definedName>
    <definedName name="Grade_Span" localSheetId="7">#REF!</definedName>
    <definedName name="Grade_Span" localSheetId="4">#REF!</definedName>
    <definedName name="Grade_Span" localSheetId="5">#REF!</definedName>
    <definedName name="Grade_Span" localSheetId="2">#REF!</definedName>
    <definedName name="Grade_Span">#REF!</definedName>
    <definedName name="Hill_City_51_2" localSheetId="1">[1]Districts!#REF!</definedName>
    <definedName name="Hill_City_51_2" localSheetId="4">[1]Districts!#REF!</definedName>
    <definedName name="Hill_City_51_2" localSheetId="5">[1]Districts!#REF!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 localSheetId="1">[2]Districts!#REF!</definedName>
    <definedName name="Jefferson_61_6" localSheetId="7">[2]Districts!#REF!</definedName>
    <definedName name="Jefferson_61_6" localSheetId="4">[2]Districts!#REF!</definedName>
    <definedName name="Jefferson_61_6" localSheetId="5">[2]Districts!#REF!</definedName>
    <definedName name="Jefferson_61_6">[2]Districts!#REF!</definedName>
    <definedName name="jolene" hidden="1">[3]LEVIES97!$A$6:$AA$182</definedName>
    <definedName name="K_Enrollment" localSheetId="1">#REF!</definedName>
    <definedName name="K_Enrollment" localSheetId="7">#REF!</definedName>
    <definedName name="K_Enrollment" localSheetId="4">#REF!</definedName>
    <definedName name="K_Enrollment" localSheetId="5">#REF!</definedName>
    <definedName name="K_Enrollment" localSheetId="2">#REF!</definedName>
    <definedName name="K_Enrollment">#REF!</definedName>
    <definedName name="Less_Than_5_Year_Exp" localSheetId="1">#REF!</definedName>
    <definedName name="Less_Than_5_Year_Exp" localSheetId="7">#REF!</definedName>
    <definedName name="Less_Than_5_Year_Exp" localSheetId="4">#REF!</definedName>
    <definedName name="Less_Than_5_Year_Exp" localSheetId="5">#REF!</definedName>
    <definedName name="Less_Than_5_Year_Exp" localSheetId="2">#REF!</definedName>
    <definedName name="Less_Than_5_Year_Exp">#REF!</definedName>
    <definedName name="Librarian_FTE" localSheetId="1">#REF!</definedName>
    <definedName name="Librarian_FTE" localSheetId="7">#REF!</definedName>
    <definedName name="Librarian_FTE" localSheetId="4">#REF!</definedName>
    <definedName name="Librarian_FTE" localSheetId="5">#REF!</definedName>
    <definedName name="Librarian_FTE" localSheetId="2">#REF!</definedName>
    <definedName name="Librarian_FTE">#REF!</definedName>
    <definedName name="Librarian_Ratio" localSheetId="1">#REF!</definedName>
    <definedName name="Librarian_Ratio" localSheetId="7">#REF!</definedName>
    <definedName name="Librarian_Ratio" localSheetId="4">#REF!</definedName>
    <definedName name="Librarian_Ratio" localSheetId="5">#REF!</definedName>
    <definedName name="Librarian_Ratio" localSheetId="2">#REF!</definedName>
    <definedName name="Librarian_Ratio">#REF!</definedName>
    <definedName name="Local_Gen_Fund_Revenue" localSheetId="1">#REF!</definedName>
    <definedName name="Local_Gen_Fund_Revenue" localSheetId="7">#REF!</definedName>
    <definedName name="Local_Gen_Fund_Revenue" localSheetId="4">#REF!</definedName>
    <definedName name="Local_Gen_Fund_Revenue" localSheetId="5">#REF!</definedName>
    <definedName name="Local_Gen_Fund_Revenue" localSheetId="2">#REF!</definedName>
    <definedName name="Local_Gen_Fund_Revenue">#REF!</definedName>
    <definedName name="Local_Spec_Fund_Revenue" localSheetId="1">#REF!</definedName>
    <definedName name="Local_Spec_Fund_Revenue" localSheetId="7">#REF!</definedName>
    <definedName name="Local_Spec_Fund_Revenue" localSheetId="4">#REF!</definedName>
    <definedName name="Local_Spec_Fund_Revenue" localSheetId="5">#REF!</definedName>
    <definedName name="Local_Spec_Fund_Revenue" localSheetId="2">#REF!</definedName>
    <definedName name="Local_Spec_Fund_Revenue">#REF!</definedName>
    <definedName name="Lost_Enrollment" localSheetId="1">#REF!</definedName>
    <definedName name="Lost_Enrollment" localSheetId="7">#REF!</definedName>
    <definedName name="Lost_Enrollment" localSheetId="4">#REF!</definedName>
    <definedName name="Lost_Enrollment" localSheetId="5">#REF!</definedName>
    <definedName name="Lost_Enrollment" localSheetId="2">#REF!</definedName>
    <definedName name="Lost_Enrollment">#REF!</definedName>
    <definedName name="Max_Masters_Salary" localSheetId="1">#REF!</definedName>
    <definedName name="Max_Masters_Salary" localSheetId="7">#REF!</definedName>
    <definedName name="Max_Masters_Salary" localSheetId="4">#REF!</definedName>
    <definedName name="Max_Masters_Salary" localSheetId="5">#REF!</definedName>
    <definedName name="Max_Masters_Salary" localSheetId="2">#REF!</definedName>
    <definedName name="Max_Masters_Salary">#REF!</definedName>
    <definedName name="Minimum_Bach_Salary" localSheetId="1">#REF!</definedName>
    <definedName name="Minimum_Bach_Salary" localSheetId="7">#REF!</definedName>
    <definedName name="Minimum_Bach_Salary" localSheetId="4">#REF!</definedName>
    <definedName name="Minimum_Bach_Salary" localSheetId="5">#REF!</definedName>
    <definedName name="Minimum_Bach_Salary" localSheetId="2">#REF!</definedName>
    <definedName name="Minimum_Bach_Salary">#REF!</definedName>
    <definedName name="New_Enrollment" localSheetId="1">#REF!</definedName>
    <definedName name="New_Enrollment" localSheetId="7">#REF!</definedName>
    <definedName name="New_Enrollment" localSheetId="4">#REF!</definedName>
    <definedName name="New_Enrollment" localSheetId="5">#REF!</definedName>
    <definedName name="New_Enrollment" localSheetId="2">#REF!</definedName>
    <definedName name="New_Enrollment">#REF!</definedName>
    <definedName name="No_Of_Advanced_Degree" localSheetId="1">#REF!</definedName>
    <definedName name="No_Of_Advanced_Degree" localSheetId="7">#REF!</definedName>
    <definedName name="No_Of_Advanced_Degree" localSheetId="4">#REF!</definedName>
    <definedName name="No_Of_Advanced_Degree" localSheetId="5">#REF!</definedName>
    <definedName name="No_Of_Advanced_Degree" localSheetId="2">#REF!</definedName>
    <definedName name="No_Of_Advanced_Degree">#REF!</definedName>
    <definedName name="Num_Dropouts_10" localSheetId="1">#REF!</definedName>
    <definedName name="Num_Dropouts_10" localSheetId="7">#REF!</definedName>
    <definedName name="Num_Dropouts_10" localSheetId="4">#REF!</definedName>
    <definedName name="Num_Dropouts_10" localSheetId="5">#REF!</definedName>
    <definedName name="Num_Dropouts_10" localSheetId="2">#REF!</definedName>
    <definedName name="Num_Dropouts_10">#REF!</definedName>
    <definedName name="Num_Dropouts_11" localSheetId="1">#REF!</definedName>
    <definedName name="Num_Dropouts_11" localSheetId="7">#REF!</definedName>
    <definedName name="Num_Dropouts_11" localSheetId="4">#REF!</definedName>
    <definedName name="Num_Dropouts_11" localSheetId="5">#REF!</definedName>
    <definedName name="Num_Dropouts_11" localSheetId="2">#REF!</definedName>
    <definedName name="Num_Dropouts_11">#REF!</definedName>
    <definedName name="Num_Dropouts_12" localSheetId="1">#REF!</definedName>
    <definedName name="Num_Dropouts_12" localSheetId="7">#REF!</definedName>
    <definedName name="Num_Dropouts_12" localSheetId="4">#REF!</definedName>
    <definedName name="Num_Dropouts_12" localSheetId="5">#REF!</definedName>
    <definedName name="Num_Dropouts_12" localSheetId="2">#REF!</definedName>
    <definedName name="Num_Dropouts_12">#REF!</definedName>
    <definedName name="Num_Dropouts_7" localSheetId="1">#REF!</definedName>
    <definedName name="Num_Dropouts_7" localSheetId="7">#REF!</definedName>
    <definedName name="Num_Dropouts_7" localSheetId="4">#REF!</definedName>
    <definedName name="Num_Dropouts_7" localSheetId="5">#REF!</definedName>
    <definedName name="Num_Dropouts_7" localSheetId="2">#REF!</definedName>
    <definedName name="Num_Dropouts_7">#REF!</definedName>
    <definedName name="Num_Dropouts_8" localSheetId="1">#REF!</definedName>
    <definedName name="Num_Dropouts_8" localSheetId="7">#REF!</definedName>
    <definedName name="Num_Dropouts_8" localSheetId="4">#REF!</definedName>
    <definedName name="Num_Dropouts_8" localSheetId="5">#REF!</definedName>
    <definedName name="Num_Dropouts_8" localSheetId="2">#REF!</definedName>
    <definedName name="Num_Dropouts_8">#REF!</definedName>
    <definedName name="Num_Dropouts_9" localSheetId="1">#REF!</definedName>
    <definedName name="Num_Dropouts_9" localSheetId="7">#REF!</definedName>
    <definedName name="Num_Dropouts_9" localSheetId="4">#REF!</definedName>
    <definedName name="Num_Dropouts_9" localSheetId="5">#REF!</definedName>
    <definedName name="Num_Dropouts_9" localSheetId="2">#REF!</definedName>
    <definedName name="Num_Dropouts_9">#REF!</definedName>
    <definedName name="NUMBER_GRADUATES" localSheetId="1">#REF!</definedName>
    <definedName name="NUMBER_GRADUATES" localSheetId="7">#REF!</definedName>
    <definedName name="NUMBER_GRADUATES" localSheetId="4">#REF!</definedName>
    <definedName name="NUMBER_GRADUATES" localSheetId="5">#REF!</definedName>
    <definedName name="NUMBER_GRADUATES" localSheetId="2">#REF!</definedName>
    <definedName name="NUMBER_GRADUATES">#REF!</definedName>
    <definedName name="OTIS_LENNON_NUMBER_TESTED" localSheetId="1">#REF!</definedName>
    <definedName name="OTIS_LENNON_NUMBER_TESTED" localSheetId="7">#REF!</definedName>
    <definedName name="OTIS_LENNON_NUMBER_TESTED" localSheetId="4">#REF!</definedName>
    <definedName name="OTIS_LENNON_NUMBER_TESTED" localSheetId="5">#REF!</definedName>
    <definedName name="OTIS_LENNON_NUMBER_TESTED" localSheetId="2">#REF!</definedName>
    <definedName name="OTIS_LENNON_NUMBER_TESTED">#REF!</definedName>
    <definedName name="OTIS_LENNON_PERCENTILE" localSheetId="1">#REF!</definedName>
    <definedName name="OTIS_LENNON_PERCENTILE" localSheetId="7">#REF!</definedName>
    <definedName name="OTIS_LENNON_PERCENTILE" localSheetId="4">#REF!</definedName>
    <definedName name="OTIS_LENNON_PERCENTILE" localSheetId="5">#REF!</definedName>
    <definedName name="OTIS_LENNON_PERCENTILE" localSheetId="2">#REF!</definedName>
    <definedName name="OTIS_LENNON_PERCENTILE">#REF!</definedName>
    <definedName name="Overall_Dropout_Rate" localSheetId="1">#REF!</definedName>
    <definedName name="Overall_Dropout_Rate" localSheetId="7">#REF!</definedName>
    <definedName name="Overall_Dropout_Rate" localSheetId="4">#REF!</definedName>
    <definedName name="Overall_Dropout_Rate" localSheetId="5">#REF!</definedName>
    <definedName name="Overall_Dropout_Rate" localSheetId="2">#REF!</definedName>
    <definedName name="Overall_Dropout_Rate">#REF!</definedName>
    <definedName name="PartVSec1" localSheetId="1">#REF!</definedName>
    <definedName name="PartVSec1" localSheetId="7">#REF!</definedName>
    <definedName name="PartVSec1" localSheetId="4">#REF!</definedName>
    <definedName name="PartVSec1" localSheetId="5">#REF!</definedName>
    <definedName name="PartVSec1" localSheetId="2">#REF!</definedName>
    <definedName name="PartVSec1">#REF!</definedName>
    <definedName name="PartVSec2" localSheetId="1">#REF!</definedName>
    <definedName name="PartVSec2" localSheetId="7">#REF!</definedName>
    <definedName name="PartVSec2" localSheetId="4">#REF!</definedName>
    <definedName name="PartVSec2" localSheetId="5">#REF!</definedName>
    <definedName name="PartVSec2" localSheetId="2">#REF!</definedName>
    <definedName name="PartVSec2">#REF!</definedName>
    <definedName name="Perc_Less_Than_5_Year_Exp" localSheetId="1">#REF!</definedName>
    <definedName name="Perc_Less_Than_5_Year_Exp" localSheetId="7">#REF!</definedName>
    <definedName name="Perc_Less_Than_5_Year_Exp" localSheetId="4">#REF!</definedName>
    <definedName name="Perc_Less_Than_5_Year_Exp" localSheetId="5">#REF!</definedName>
    <definedName name="Perc_Less_Than_5_Year_Exp" localSheetId="2">#REF!</definedName>
    <definedName name="Perc_Less_Than_5_Year_Exp">#REF!</definedName>
    <definedName name="Percent_Of_Advanced_Degree" localSheetId="1">#REF!</definedName>
    <definedName name="Percent_Of_Advanced_Degree" localSheetId="7">#REF!</definedName>
    <definedName name="Percent_Of_Advanced_Degree" localSheetId="4">#REF!</definedName>
    <definedName name="Percent_Of_Advanced_Degree" localSheetId="5">#REF!</definedName>
    <definedName name="Percent_Of_Advanced_Degree" localSheetId="2">#REF!</definedName>
    <definedName name="Percent_Of_Advanced_Degree">#REF!</definedName>
    <definedName name="Principal_FTE" localSheetId="1">#REF!</definedName>
    <definedName name="Principal_FTE" localSheetId="7">#REF!</definedName>
    <definedName name="Principal_FTE" localSheetId="4">#REF!</definedName>
    <definedName name="Principal_FTE" localSheetId="5">#REF!</definedName>
    <definedName name="Principal_FTE" localSheetId="2">#REF!</definedName>
    <definedName name="Principal_FTE">#REF!</definedName>
    <definedName name="Principal_Ratio" localSheetId="1">#REF!</definedName>
    <definedName name="Principal_Ratio" localSheetId="7">#REF!</definedName>
    <definedName name="Principal_Ratio" localSheetId="4">#REF!</definedName>
    <definedName name="Principal_Ratio" localSheetId="5">#REF!</definedName>
    <definedName name="Principal_Ratio" localSheetId="2">#REF!</definedName>
    <definedName name="Principal_Ratio">#REF!</definedName>
    <definedName name="_xlnm.Print_Area" localSheetId="1">COMPARE!$A$1:$H$30</definedName>
    <definedName name="_xlnm.Print_Area" localSheetId="7">'FY2025'!$A$1:$R$157</definedName>
    <definedName name="_xlnm.Print_Area" localSheetId="0">'GSA Estimate Calculator'!$A$1:$G$54</definedName>
    <definedName name="_xlnm.Print_Area" localSheetId="4">OtherRevenueLocalEffortFY26!$A$1:$K$153</definedName>
    <definedName name="_xlnm.Print_Area" localSheetId="2">'SAFE History'!$B$3:$F$155</definedName>
    <definedName name="_xlnm.Print_Titles" localSheetId="7">'FY2025'!$1:$5</definedName>
    <definedName name="_xlnm.Print_Titles" localSheetId="4">OtherRevenueLocalEffortFY26!$4:$4</definedName>
    <definedName name="_xlnm.Print_Titles" localSheetId="2">'SAFE History'!$1:$2</definedName>
    <definedName name="QRY___Dist_by_Disability__3_21_" localSheetId="1">#REF!</definedName>
    <definedName name="QRY___Dist_by_Disability__3_21_" localSheetId="7">#REF!</definedName>
    <definedName name="QRY___Dist_by_Disability__3_21_" localSheetId="4">#REF!</definedName>
    <definedName name="QRY___Dist_by_Disability__3_21_" localSheetId="5">#REF!</definedName>
    <definedName name="QRY___Dist_by_Disability__3_21_" localSheetId="2">#REF!</definedName>
    <definedName name="QRY___Dist_by_Disability__3_21_">#REF!</definedName>
    <definedName name="Qry_District_by_Disability" localSheetId="1">#REF!</definedName>
    <definedName name="Qry_District_by_Disability" localSheetId="7">#REF!</definedName>
    <definedName name="Qry_District_by_Disability" localSheetId="4">#REF!</definedName>
    <definedName name="Qry_District_by_Disability" localSheetId="5">#REF!</definedName>
    <definedName name="Qry_District_by_Disability" localSheetId="2">#REF!</definedName>
    <definedName name="Qry_District_by_Disability">#REF!</definedName>
    <definedName name="QRY1_12ADMFinal_Out" localSheetId="1">#REF!</definedName>
    <definedName name="QRY1_12ADMFinal_Out" localSheetId="7">#REF!</definedName>
    <definedName name="QRY1_12ADMFinal_Out" localSheetId="4">#REF!</definedName>
    <definedName name="QRY1_12ADMFinal_Out" localSheetId="5">#REF!</definedName>
    <definedName name="QRY1_12ADMFinal_Out" localSheetId="2">#REF!</definedName>
    <definedName name="QRY1_12ADMFinal_Out">#REF!</definedName>
    <definedName name="QryADM1_12Add" localSheetId="1">#REF!</definedName>
    <definedName name="QryADM1_12Add" localSheetId="7">#REF!</definedName>
    <definedName name="QryADM1_12Add" localSheetId="4">#REF!</definedName>
    <definedName name="QryADM1_12Add" localSheetId="5">#REF!</definedName>
    <definedName name="QryADM1_12Add" localSheetId="2">#REF!</definedName>
    <definedName name="QryADM1_12Add">#REF!</definedName>
    <definedName name="QryADM1_12Subtract" localSheetId="1">#REF!</definedName>
    <definedName name="QryADM1_12Subtract" localSheetId="7">#REF!</definedName>
    <definedName name="QryADM1_12Subtract" localSheetId="4">#REF!</definedName>
    <definedName name="QryADM1_12Subtract" localSheetId="5">#REF!</definedName>
    <definedName name="QryADM1_12Subtract" localSheetId="2">#REF!</definedName>
    <definedName name="QryADM1_12Subtract">#REF!</definedName>
    <definedName name="QryADMKgAdd" localSheetId="1">#REF!</definedName>
    <definedName name="QryADMKgAdd" localSheetId="7">#REF!</definedName>
    <definedName name="QryADMKgAdd" localSheetId="4">#REF!</definedName>
    <definedName name="QryADMKgAdd" localSheetId="5">#REF!</definedName>
    <definedName name="QryADMKgAdd" localSheetId="2">#REF!</definedName>
    <definedName name="QryADMKgAdd">#REF!</definedName>
    <definedName name="QryADMKgSubtract" localSheetId="1">#REF!</definedName>
    <definedName name="QryADMKgSubtract" localSheetId="7">#REF!</definedName>
    <definedName name="QryADMKgSubtract" localSheetId="4">#REF!</definedName>
    <definedName name="QryADMKgSubtract" localSheetId="5">#REF!</definedName>
    <definedName name="QryADMKgSubtract" localSheetId="2">#REF!</definedName>
    <definedName name="QryADMKgSubtract">#REF!</definedName>
    <definedName name="QryKGADMFinal_out" localSheetId="1">#REF!</definedName>
    <definedName name="QryKGADMFinal_out" localSheetId="7">#REF!</definedName>
    <definedName name="QryKGADMFinal_out" localSheetId="4">#REF!</definedName>
    <definedName name="QryKGADMFinal_out" localSheetId="5">#REF!</definedName>
    <definedName name="QryKGADMFinal_out" localSheetId="2">#REF!</definedName>
    <definedName name="QryKGADMFinal_out">#REF!</definedName>
    <definedName name="Retained_Student_Ratio" localSheetId="1">#REF!</definedName>
    <definedName name="Retained_Student_Ratio" localSheetId="7">#REF!</definedName>
    <definedName name="Retained_Student_Ratio" localSheetId="4">#REF!</definedName>
    <definedName name="Retained_Student_Ratio" localSheetId="5">#REF!</definedName>
    <definedName name="Retained_Student_Ratio" localSheetId="2">#REF!</definedName>
    <definedName name="Retained_Student_Ratio">#REF!</definedName>
    <definedName name="Retained_Students" localSheetId="1">#REF!</definedName>
    <definedName name="Retained_Students" localSheetId="7">#REF!</definedName>
    <definedName name="Retained_Students" localSheetId="4">#REF!</definedName>
    <definedName name="Retained_Students" localSheetId="5">#REF!</definedName>
    <definedName name="Retained_Students" localSheetId="2">#REF!</definedName>
    <definedName name="Retained_Students">#REF!</definedName>
    <definedName name="School">#REF!</definedName>
    <definedName name="school_area" localSheetId="1">#REF!</definedName>
    <definedName name="school_area" localSheetId="7">#REF!</definedName>
    <definedName name="school_area" localSheetId="4">#REF!</definedName>
    <definedName name="school_area" localSheetId="5">#REF!</definedName>
    <definedName name="school_area" localSheetId="2">#REF!</definedName>
    <definedName name="school_area">#REF!</definedName>
    <definedName name="School_Attendance_Rate" localSheetId="1">#REF!</definedName>
    <definedName name="School_Attendance_Rate" localSheetId="7">#REF!</definedName>
    <definedName name="School_Attendance_Rate" localSheetId="4">#REF!</definedName>
    <definedName name="School_Attendance_Rate" localSheetId="5">#REF!</definedName>
    <definedName name="School_Attendance_Rate" localSheetId="2">#REF!</definedName>
    <definedName name="School_Attendance_Rate">#REF!</definedName>
    <definedName name="School_Code" localSheetId="1">#REF!</definedName>
    <definedName name="School_Code" localSheetId="7">#REF!</definedName>
    <definedName name="School_Code" localSheetId="4">#REF!</definedName>
    <definedName name="School_Code" localSheetId="5">#REF!</definedName>
    <definedName name="School_Code" localSheetId="2">#REF!</definedName>
    <definedName name="School_Code">#REF!</definedName>
    <definedName name="SCHOOL_NAME" localSheetId="1">#REF!</definedName>
    <definedName name="SCHOOL_NAME" localSheetId="7">#REF!</definedName>
    <definedName name="SCHOOL_NAME" localSheetId="4">#REF!</definedName>
    <definedName name="SCHOOL_NAME" localSheetId="5">#REF!</definedName>
    <definedName name="SCHOOL_NAME" localSheetId="2">#REF!</definedName>
    <definedName name="SCHOOL_NAME">#REF!</definedName>
    <definedName name="School_Phone_Num" localSheetId="1">#REF!</definedName>
    <definedName name="School_Phone_Num" localSheetId="7">#REF!</definedName>
    <definedName name="School_Phone_Num" localSheetId="4">#REF!</definedName>
    <definedName name="School_Phone_Num" localSheetId="5">#REF!</definedName>
    <definedName name="School_Phone_Num" localSheetId="2">#REF!</definedName>
    <definedName name="School_Phone_Num">#REF!</definedName>
    <definedName name="School_Principal" localSheetId="1">#REF!</definedName>
    <definedName name="School_Principal" localSheetId="7">#REF!</definedName>
    <definedName name="School_Principal" localSheetId="4">#REF!</definedName>
    <definedName name="School_Principal" localSheetId="5">#REF!</definedName>
    <definedName name="School_Principal" localSheetId="2">#REF!</definedName>
    <definedName name="School_Principal">#REF!</definedName>
    <definedName name="School_Principal_Num" localSheetId="1">#REF!</definedName>
    <definedName name="School_Principal_Num" localSheetId="7">#REF!</definedName>
    <definedName name="School_Principal_Num" localSheetId="4">#REF!</definedName>
    <definedName name="School_Principal_Num" localSheetId="5">#REF!</definedName>
    <definedName name="School_Principal_Num" localSheetId="2">#REF!</definedName>
    <definedName name="School_Principal_Num">#REF!</definedName>
    <definedName name="School_Type" localSheetId="1">#REF!</definedName>
    <definedName name="School_Type" localSheetId="7">#REF!</definedName>
    <definedName name="School_Type" localSheetId="4">#REF!</definedName>
    <definedName name="School_Type" localSheetId="5">#REF!</definedName>
    <definedName name="School_Type" localSheetId="2">#REF!</definedName>
    <definedName name="School_Type">#REF!</definedName>
    <definedName name="STANFORD_METROPOLITAN_PERCENTILE" localSheetId="1">#REF!</definedName>
    <definedName name="STANFORD_METROPOLITAN_PERCENTILE" localSheetId="7">#REF!</definedName>
    <definedName name="STANFORD_METROPOLITAN_PERCENTILE" localSheetId="4">#REF!</definedName>
    <definedName name="STANFORD_METROPOLITAN_PERCENTILE" localSheetId="5">#REF!</definedName>
    <definedName name="STANFORD_METROPOLITAN_PERCENTILE" localSheetId="2">#REF!</definedName>
    <definedName name="STANFORD_METROPOLITAN_PERCENTILE">#REF!</definedName>
    <definedName name="State_Gen_Fund_Revenue" localSheetId="1">#REF!</definedName>
    <definedName name="State_Gen_Fund_Revenue" localSheetId="7">#REF!</definedName>
    <definedName name="State_Gen_Fund_Revenue" localSheetId="4">#REF!</definedName>
    <definedName name="State_Gen_Fund_Revenue" localSheetId="5">#REF!</definedName>
    <definedName name="State_Gen_Fund_Revenue" localSheetId="2">#REF!</definedName>
    <definedName name="State_Gen_Fund_Revenue">#REF!</definedName>
    <definedName name="State_Spec_Fund_Revenue" localSheetId="1">#REF!</definedName>
    <definedName name="State_Spec_Fund_Revenue" localSheetId="7">#REF!</definedName>
    <definedName name="State_Spec_Fund_Revenue" localSheetId="4">#REF!</definedName>
    <definedName name="State_Spec_Fund_Revenue" localSheetId="5">#REF!</definedName>
    <definedName name="State_Spec_Fund_Revenue" localSheetId="2">#REF!</definedName>
    <definedName name="State_Spec_Fund_Revenue">#REF!</definedName>
    <definedName name="STUDENT_TO_STAFF_RATIO" localSheetId="1">#REF!</definedName>
    <definedName name="STUDENT_TO_STAFF_RATIO" localSheetId="7">#REF!</definedName>
    <definedName name="STUDENT_TO_STAFF_RATIO" localSheetId="4">#REF!</definedName>
    <definedName name="STUDENT_TO_STAFF_RATIO" localSheetId="5">#REF!</definedName>
    <definedName name="STUDENT_TO_STAFF_RATIO" localSheetId="2">#REF!</definedName>
    <definedName name="STUDENT_TO_STAFF_RATIO">#REF!</definedName>
    <definedName name="TBL1_12ADM1_Out" localSheetId="1">#REF!</definedName>
    <definedName name="TBL1_12ADM1_Out" localSheetId="7">#REF!</definedName>
    <definedName name="TBL1_12ADM1_Out" localSheetId="4">#REF!</definedName>
    <definedName name="TBL1_12ADM1_Out" localSheetId="5">#REF!</definedName>
    <definedName name="TBL1_12ADM1_Out" localSheetId="2">#REF!</definedName>
    <definedName name="TBL1_12ADM1_Out">#REF!</definedName>
    <definedName name="TblAttndanceCenterSummary" localSheetId="1">#REF!</definedName>
    <definedName name="TblAttndanceCenterSummary" localSheetId="7">#REF!</definedName>
    <definedName name="TblAttndanceCenterSummary" localSheetId="4">#REF!</definedName>
    <definedName name="TblAttndanceCenterSummary" localSheetId="5">#REF!</definedName>
    <definedName name="TblAttndanceCenterSummary" localSheetId="2">#REF!</definedName>
    <definedName name="TblAttndanceCenterSummary">#REF!</definedName>
    <definedName name="TblAttndanceCenterSummary1" localSheetId="1">#REF!</definedName>
    <definedName name="TblAttndanceCenterSummary1" localSheetId="7">#REF!</definedName>
    <definedName name="TblAttndanceCenterSummary1" localSheetId="4">#REF!</definedName>
    <definedName name="TblAttndanceCenterSummary1" localSheetId="5">#REF!</definedName>
    <definedName name="TblAttndanceCenterSummary1" localSheetId="2">#REF!</definedName>
    <definedName name="TblAttndanceCenterSummary1">#REF!</definedName>
    <definedName name="Teacher_FTE" localSheetId="1">#REF!</definedName>
    <definedName name="Teacher_FTE" localSheetId="7">#REF!</definedName>
    <definedName name="Teacher_FTE" localSheetId="4">#REF!</definedName>
    <definedName name="Teacher_FTE" localSheetId="5">#REF!</definedName>
    <definedName name="Teacher_FTE" localSheetId="2">#REF!</definedName>
    <definedName name="Teacher_FTE">#REF!</definedName>
    <definedName name="Teacher_Ratio" localSheetId="1">#REF!</definedName>
    <definedName name="Teacher_Ratio" localSheetId="7">#REF!</definedName>
    <definedName name="Teacher_Ratio" localSheetId="4">#REF!</definedName>
    <definedName name="Teacher_Ratio" localSheetId="5">#REF!</definedName>
    <definedName name="Teacher_Ratio" localSheetId="2">#REF!</definedName>
    <definedName name="Teacher_Ratio">#REF!</definedName>
    <definedName name="test" localSheetId="1">[1]Districts!#REF!</definedName>
    <definedName name="test" localSheetId="4">[1]Districts!#REF!</definedName>
    <definedName name="test" localSheetId="5">[1]Districts!#REF!</definedName>
    <definedName name="test">[1]Districts!#REF!</definedName>
    <definedName name="Tot_Number_Of_Teachers" localSheetId="1">#REF!</definedName>
    <definedName name="Tot_Number_Of_Teachers" localSheetId="7">#REF!</definedName>
    <definedName name="Tot_Number_Of_Teachers" localSheetId="4">#REF!</definedName>
    <definedName name="Tot_Number_Of_Teachers" localSheetId="5">#REF!</definedName>
    <definedName name="Tot_Number_Of_Teachers" localSheetId="2">#REF!</definedName>
    <definedName name="Tot_Number_Of_Teachers">#REF!</definedName>
    <definedName name="Total_Expenditure" localSheetId="1">#REF!</definedName>
    <definedName name="Total_Expenditure" localSheetId="7">#REF!</definedName>
    <definedName name="Total_Expenditure" localSheetId="4">#REF!</definedName>
    <definedName name="Total_Expenditure" localSheetId="5">#REF!</definedName>
    <definedName name="Total_Expenditure" localSheetId="2">#REF!</definedName>
    <definedName name="Total_Expenditure">#REF!</definedName>
    <definedName name="TOTAL_INSTRUCTIONAL_STAFF" localSheetId="1">#REF!</definedName>
    <definedName name="TOTAL_INSTRUCTIONAL_STAFF" localSheetId="7">#REF!</definedName>
    <definedName name="TOTAL_INSTRUCTIONAL_STAFF" localSheetId="4">#REF!</definedName>
    <definedName name="TOTAL_INSTRUCTIONAL_STAFF" localSheetId="5">#REF!</definedName>
    <definedName name="TOTAL_INSTRUCTIONAL_STAFF" localSheetId="2">#REF!</definedName>
    <definedName name="TOTAL_INSTRUCTIONAL_STAFF">#REF!</definedName>
    <definedName name="Totals_by_School_District" localSheetId="1">#REF!</definedName>
    <definedName name="Totals_by_School_District" localSheetId="7">#REF!</definedName>
    <definedName name="Totals_by_School_District" localSheetId="4">#REF!</definedName>
    <definedName name="Totals_by_School_District" localSheetId="5">#REF!</definedName>
    <definedName name="Totals_by_School_District">#REF!</definedName>
    <definedName name="Y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55" i="35" l="1"/>
  <c r="B9" i="1" l="1"/>
  <c r="B10" i="1" s="1"/>
  <c r="S156" i="39"/>
  <c r="R156" i="39"/>
  <c r="Q156" i="39"/>
  <c r="P156" i="39"/>
  <c r="O156" i="39"/>
  <c r="N156" i="39"/>
  <c r="M156" i="39"/>
  <c r="L156" i="39"/>
  <c r="K156" i="39"/>
  <c r="J156" i="39"/>
  <c r="I156" i="39"/>
  <c r="U160" i="39" s="1"/>
  <c r="H156" i="39"/>
  <c r="G156" i="39"/>
  <c r="F156" i="39"/>
  <c r="E156" i="39"/>
  <c r="D156" i="39"/>
  <c r="C156" i="39"/>
  <c r="W154" i="39"/>
  <c r="V154" i="39"/>
  <c r="U154" i="39"/>
  <c r="T154" i="39"/>
  <c r="W153" i="39"/>
  <c r="V153" i="39"/>
  <c r="U153" i="39"/>
  <c r="T153" i="39"/>
  <c r="W152" i="39"/>
  <c r="V152" i="39"/>
  <c r="U152" i="39"/>
  <c r="T152" i="39"/>
  <c r="W151" i="39"/>
  <c r="V151" i="39"/>
  <c r="U151" i="39"/>
  <c r="T151" i="39"/>
  <c r="W150" i="39"/>
  <c r="V150" i="39"/>
  <c r="U150" i="39"/>
  <c r="T150" i="39"/>
  <c r="W149" i="39"/>
  <c r="V149" i="39"/>
  <c r="U149" i="39"/>
  <c r="T149" i="39"/>
  <c r="W148" i="39"/>
  <c r="V148" i="39"/>
  <c r="U148" i="39"/>
  <c r="T148" i="39"/>
  <c r="W147" i="39"/>
  <c r="V147" i="39"/>
  <c r="U147" i="39"/>
  <c r="T147" i="39"/>
  <c r="W146" i="39"/>
  <c r="V146" i="39"/>
  <c r="U146" i="39"/>
  <c r="T146" i="39"/>
  <c r="W145" i="39"/>
  <c r="V145" i="39"/>
  <c r="U145" i="39"/>
  <c r="T145" i="39"/>
  <c r="W144" i="39"/>
  <c r="V144" i="39"/>
  <c r="U144" i="39"/>
  <c r="T144" i="39"/>
  <c r="W143" i="39"/>
  <c r="V143" i="39"/>
  <c r="U143" i="39"/>
  <c r="T143" i="39"/>
  <c r="W142" i="39"/>
  <c r="V142" i="39"/>
  <c r="U142" i="39"/>
  <c r="T142" i="39"/>
  <c r="W141" i="39"/>
  <c r="V141" i="39"/>
  <c r="U141" i="39"/>
  <c r="T141" i="39"/>
  <c r="W140" i="39"/>
  <c r="V140" i="39"/>
  <c r="U140" i="39"/>
  <c r="T140" i="39"/>
  <c r="W139" i="39"/>
  <c r="V139" i="39"/>
  <c r="U139" i="39"/>
  <c r="T139" i="39"/>
  <c r="W138" i="39"/>
  <c r="V138" i="39"/>
  <c r="U138" i="39"/>
  <c r="T138" i="39"/>
  <c r="W137" i="39"/>
  <c r="V137" i="39"/>
  <c r="U137" i="39"/>
  <c r="T137" i="39"/>
  <c r="W136" i="39"/>
  <c r="V136" i="39"/>
  <c r="U136" i="39"/>
  <c r="T136" i="39"/>
  <c r="W135" i="39"/>
  <c r="V135" i="39"/>
  <c r="U135" i="39"/>
  <c r="T135" i="39"/>
  <c r="W134" i="39"/>
  <c r="V134" i="39"/>
  <c r="U134" i="39"/>
  <c r="T134" i="39"/>
  <c r="W133" i="39"/>
  <c r="V133" i="39"/>
  <c r="U133" i="39"/>
  <c r="T133" i="39"/>
  <c r="W132" i="39"/>
  <c r="V132" i="39"/>
  <c r="U132" i="39"/>
  <c r="T132" i="39"/>
  <c r="W131" i="39"/>
  <c r="V131" i="39"/>
  <c r="U131" i="39"/>
  <c r="T131" i="39"/>
  <c r="W130" i="39"/>
  <c r="V130" i="39"/>
  <c r="U130" i="39"/>
  <c r="T130" i="39"/>
  <c r="W129" i="39"/>
  <c r="V129" i="39"/>
  <c r="U129" i="39"/>
  <c r="T129" i="39"/>
  <c r="W128" i="39"/>
  <c r="V128" i="39"/>
  <c r="U128" i="39"/>
  <c r="T128" i="39"/>
  <c r="W127" i="39"/>
  <c r="V127" i="39"/>
  <c r="U127" i="39"/>
  <c r="T127" i="39"/>
  <c r="W126" i="39"/>
  <c r="V126" i="39"/>
  <c r="U126" i="39"/>
  <c r="T126" i="39"/>
  <c r="W125" i="39"/>
  <c r="V125" i="39"/>
  <c r="U125" i="39"/>
  <c r="T125" i="39"/>
  <c r="W124" i="39"/>
  <c r="V124" i="39"/>
  <c r="U124" i="39"/>
  <c r="T124" i="39"/>
  <c r="W123" i="39"/>
  <c r="V123" i="39"/>
  <c r="U123" i="39"/>
  <c r="T123" i="39"/>
  <c r="W122" i="39"/>
  <c r="V122" i="39"/>
  <c r="U122" i="39"/>
  <c r="T122" i="39"/>
  <c r="W121" i="39"/>
  <c r="V121" i="39"/>
  <c r="U121" i="39"/>
  <c r="T121" i="39"/>
  <c r="W120" i="39"/>
  <c r="V120" i="39"/>
  <c r="U120" i="39"/>
  <c r="T120" i="39"/>
  <c r="W119" i="39"/>
  <c r="V119" i="39"/>
  <c r="U119" i="39"/>
  <c r="T119" i="39"/>
  <c r="W118" i="39"/>
  <c r="V118" i="39"/>
  <c r="U118" i="39"/>
  <c r="T118" i="39"/>
  <c r="W117" i="39"/>
  <c r="V117" i="39"/>
  <c r="U117" i="39"/>
  <c r="T117" i="39"/>
  <c r="W116" i="39"/>
  <c r="V116" i="39"/>
  <c r="U116" i="39"/>
  <c r="T116" i="39"/>
  <c r="W115" i="39"/>
  <c r="V115" i="39"/>
  <c r="U115" i="39"/>
  <c r="T115" i="39"/>
  <c r="W114" i="39"/>
  <c r="V114" i="39"/>
  <c r="U114" i="39"/>
  <c r="T114" i="39"/>
  <c r="W113" i="39"/>
  <c r="V113" i="39"/>
  <c r="U113" i="39"/>
  <c r="T113" i="39"/>
  <c r="W112" i="39"/>
  <c r="V112" i="39"/>
  <c r="U112" i="39"/>
  <c r="T112" i="39"/>
  <c r="W111" i="39"/>
  <c r="V111" i="39"/>
  <c r="U111" i="39"/>
  <c r="T111" i="39"/>
  <c r="W110" i="39"/>
  <c r="V110" i="39"/>
  <c r="U110" i="39"/>
  <c r="T110" i="39"/>
  <c r="W109" i="39"/>
  <c r="V109" i="39"/>
  <c r="U109" i="39"/>
  <c r="T109" i="39"/>
  <c r="W108" i="39"/>
  <c r="V108" i="39"/>
  <c r="U108" i="39"/>
  <c r="T108" i="39"/>
  <c r="W107" i="39"/>
  <c r="V107" i="39"/>
  <c r="U107" i="39"/>
  <c r="T107" i="39"/>
  <c r="W106" i="39"/>
  <c r="V106" i="39"/>
  <c r="U106" i="39"/>
  <c r="T106" i="39"/>
  <c r="W105" i="39"/>
  <c r="V105" i="39"/>
  <c r="U105" i="39"/>
  <c r="T105" i="39"/>
  <c r="W104" i="39"/>
  <c r="V104" i="39"/>
  <c r="U104" i="39"/>
  <c r="T104" i="39"/>
  <c r="W103" i="39"/>
  <c r="V103" i="39"/>
  <c r="U103" i="39"/>
  <c r="T103" i="39"/>
  <c r="W102" i="39"/>
  <c r="V102" i="39"/>
  <c r="U102" i="39"/>
  <c r="T102" i="39"/>
  <c r="W101" i="39"/>
  <c r="V101" i="39"/>
  <c r="U101" i="39"/>
  <c r="T101" i="39"/>
  <c r="W100" i="39"/>
  <c r="V100" i="39"/>
  <c r="U100" i="39"/>
  <c r="T100" i="39"/>
  <c r="W99" i="39"/>
  <c r="V99" i="39"/>
  <c r="U99" i="39"/>
  <c r="T99" i="39"/>
  <c r="W98" i="39"/>
  <c r="V98" i="39"/>
  <c r="U98" i="39"/>
  <c r="T98" i="39"/>
  <c r="W97" i="39"/>
  <c r="V97" i="39"/>
  <c r="U97" i="39"/>
  <c r="T97" i="39"/>
  <c r="W96" i="39"/>
  <c r="V96" i="39"/>
  <c r="U96" i="39"/>
  <c r="T96" i="39"/>
  <c r="W95" i="39"/>
  <c r="V95" i="39"/>
  <c r="U95" i="39"/>
  <c r="T95" i="39"/>
  <c r="W94" i="39"/>
  <c r="V94" i="39"/>
  <c r="U94" i="39"/>
  <c r="T94" i="39"/>
  <c r="W93" i="39"/>
  <c r="V93" i="39"/>
  <c r="U93" i="39"/>
  <c r="T93" i="39"/>
  <c r="W92" i="39"/>
  <c r="V92" i="39"/>
  <c r="U92" i="39"/>
  <c r="T92" i="39"/>
  <c r="W91" i="39"/>
  <c r="V91" i="39"/>
  <c r="U91" i="39"/>
  <c r="T91" i="39"/>
  <c r="W90" i="39"/>
  <c r="V90" i="39"/>
  <c r="U90" i="39"/>
  <c r="T90" i="39"/>
  <c r="W89" i="39"/>
  <c r="V89" i="39"/>
  <c r="U89" i="39"/>
  <c r="T89" i="39"/>
  <c r="W88" i="39"/>
  <c r="V88" i="39"/>
  <c r="U88" i="39"/>
  <c r="T88" i="39"/>
  <c r="W87" i="39"/>
  <c r="V87" i="39"/>
  <c r="U87" i="39"/>
  <c r="T87" i="39"/>
  <c r="W86" i="39"/>
  <c r="V86" i="39"/>
  <c r="U86" i="39"/>
  <c r="T86" i="39"/>
  <c r="W85" i="39"/>
  <c r="V85" i="39"/>
  <c r="U85" i="39"/>
  <c r="T85" i="39"/>
  <c r="W84" i="39"/>
  <c r="V84" i="39"/>
  <c r="U84" i="39"/>
  <c r="T84" i="39"/>
  <c r="W83" i="39"/>
  <c r="V83" i="39"/>
  <c r="U83" i="39"/>
  <c r="T83" i="39"/>
  <c r="W82" i="39"/>
  <c r="V82" i="39"/>
  <c r="U82" i="39"/>
  <c r="T82" i="39"/>
  <c r="W81" i="39"/>
  <c r="V81" i="39"/>
  <c r="U81" i="39"/>
  <c r="T81" i="39"/>
  <c r="W80" i="39"/>
  <c r="V80" i="39"/>
  <c r="U80" i="39"/>
  <c r="T80" i="39"/>
  <c r="W79" i="39"/>
  <c r="V79" i="39"/>
  <c r="U79" i="39"/>
  <c r="T79" i="39"/>
  <c r="W78" i="39"/>
  <c r="V78" i="39"/>
  <c r="U78" i="39"/>
  <c r="T78" i="39"/>
  <c r="W77" i="39"/>
  <c r="V77" i="39"/>
  <c r="U77" i="39"/>
  <c r="T77" i="39"/>
  <c r="W76" i="39"/>
  <c r="V76" i="39"/>
  <c r="U76" i="39"/>
  <c r="T76" i="39"/>
  <c r="W75" i="39"/>
  <c r="V75" i="39"/>
  <c r="U75" i="39"/>
  <c r="T75" i="39"/>
  <c r="W74" i="39"/>
  <c r="V74" i="39"/>
  <c r="U74" i="39"/>
  <c r="T74" i="39"/>
  <c r="W73" i="39"/>
  <c r="V73" i="39"/>
  <c r="U73" i="39"/>
  <c r="T73" i="39"/>
  <c r="W72" i="39"/>
  <c r="V72" i="39"/>
  <c r="U72" i="39"/>
  <c r="T72" i="39"/>
  <c r="W71" i="39"/>
  <c r="V71" i="39"/>
  <c r="U71" i="39"/>
  <c r="T71" i="39"/>
  <c r="W70" i="39"/>
  <c r="V70" i="39"/>
  <c r="U70" i="39"/>
  <c r="T70" i="39"/>
  <c r="W69" i="39"/>
  <c r="V69" i="39"/>
  <c r="U69" i="39"/>
  <c r="T69" i="39"/>
  <c r="W68" i="39"/>
  <c r="V68" i="39"/>
  <c r="U68" i="39"/>
  <c r="T68" i="39"/>
  <c r="W67" i="39"/>
  <c r="V67" i="39"/>
  <c r="U67" i="39"/>
  <c r="T67" i="39"/>
  <c r="W66" i="39"/>
  <c r="V66" i="39"/>
  <c r="U66" i="39"/>
  <c r="T66" i="39"/>
  <c r="W65" i="39"/>
  <c r="V65" i="39"/>
  <c r="U65" i="39"/>
  <c r="T65" i="39"/>
  <c r="W64" i="39"/>
  <c r="V64" i="39"/>
  <c r="U64" i="39"/>
  <c r="T64" i="39"/>
  <c r="W63" i="39"/>
  <c r="V63" i="39"/>
  <c r="U63" i="39"/>
  <c r="T63" i="39"/>
  <c r="W62" i="39"/>
  <c r="V62" i="39"/>
  <c r="U62" i="39"/>
  <c r="T62" i="39"/>
  <c r="W61" i="39"/>
  <c r="V61" i="39"/>
  <c r="U61" i="39"/>
  <c r="T61" i="39"/>
  <c r="W60" i="39"/>
  <c r="V60" i="39"/>
  <c r="U60" i="39"/>
  <c r="T60" i="39"/>
  <c r="W59" i="39"/>
  <c r="V59" i="39"/>
  <c r="U59" i="39"/>
  <c r="T59" i="39"/>
  <c r="W58" i="39"/>
  <c r="V58" i="39"/>
  <c r="U58" i="39"/>
  <c r="T58" i="39"/>
  <c r="W57" i="39"/>
  <c r="V57" i="39"/>
  <c r="U57" i="39"/>
  <c r="T57" i="39"/>
  <c r="W56" i="39"/>
  <c r="V56" i="39"/>
  <c r="U56" i="39"/>
  <c r="T56" i="39"/>
  <c r="W55" i="39"/>
  <c r="V55" i="39"/>
  <c r="U55" i="39"/>
  <c r="T55" i="39"/>
  <c r="W54" i="39"/>
  <c r="V54" i="39"/>
  <c r="U54" i="39"/>
  <c r="T54" i="39"/>
  <c r="W53" i="39"/>
  <c r="V53" i="39"/>
  <c r="U53" i="39"/>
  <c r="T53" i="39"/>
  <c r="W52" i="39"/>
  <c r="V52" i="39"/>
  <c r="U52" i="39"/>
  <c r="T52" i="39"/>
  <c r="W51" i="39"/>
  <c r="V51" i="39"/>
  <c r="U51" i="39"/>
  <c r="T51" i="39"/>
  <c r="W50" i="39"/>
  <c r="V50" i="39"/>
  <c r="U50" i="39"/>
  <c r="T50" i="39"/>
  <c r="W49" i="39"/>
  <c r="V49" i="39"/>
  <c r="U49" i="39"/>
  <c r="T49" i="39"/>
  <c r="W48" i="39"/>
  <c r="V48" i="39"/>
  <c r="U48" i="39"/>
  <c r="T48" i="39"/>
  <c r="W47" i="39"/>
  <c r="V47" i="39"/>
  <c r="U47" i="39"/>
  <c r="T47" i="39"/>
  <c r="W46" i="39"/>
  <c r="V46" i="39"/>
  <c r="U46" i="39"/>
  <c r="T46" i="39"/>
  <c r="W45" i="39"/>
  <c r="V45" i="39"/>
  <c r="U45" i="39"/>
  <c r="T45" i="39"/>
  <c r="W44" i="39"/>
  <c r="V44" i="39"/>
  <c r="U44" i="39"/>
  <c r="T44" i="39"/>
  <c r="W43" i="39"/>
  <c r="V43" i="39"/>
  <c r="U43" i="39"/>
  <c r="T43" i="39"/>
  <c r="W42" i="39"/>
  <c r="V42" i="39"/>
  <c r="U42" i="39"/>
  <c r="T42" i="39"/>
  <c r="W41" i="39"/>
  <c r="V41" i="39"/>
  <c r="U41" i="39"/>
  <c r="T41" i="39"/>
  <c r="W40" i="39"/>
  <c r="V40" i="39"/>
  <c r="U40" i="39"/>
  <c r="T40" i="39"/>
  <c r="W39" i="39"/>
  <c r="V39" i="39"/>
  <c r="U39" i="39"/>
  <c r="T39" i="39"/>
  <c r="W38" i="39"/>
  <c r="V38" i="39"/>
  <c r="U38" i="39"/>
  <c r="T38" i="39"/>
  <c r="W37" i="39"/>
  <c r="V37" i="39"/>
  <c r="U37" i="39"/>
  <c r="T37" i="39"/>
  <c r="W36" i="39"/>
  <c r="V36" i="39"/>
  <c r="U36" i="39"/>
  <c r="T36" i="39"/>
  <c r="W35" i="39"/>
  <c r="V35" i="39"/>
  <c r="U35" i="39"/>
  <c r="T35" i="39"/>
  <c r="W34" i="39"/>
  <c r="V34" i="39"/>
  <c r="U34" i="39"/>
  <c r="T34" i="39"/>
  <c r="W33" i="39"/>
  <c r="V33" i="39"/>
  <c r="U33" i="39"/>
  <c r="T33" i="39"/>
  <c r="W32" i="39"/>
  <c r="V32" i="39"/>
  <c r="U32" i="39"/>
  <c r="T32" i="39"/>
  <c r="W31" i="39"/>
  <c r="V31" i="39"/>
  <c r="U31" i="39"/>
  <c r="T31" i="39"/>
  <c r="W30" i="39"/>
  <c r="V30" i="39"/>
  <c r="U30" i="39"/>
  <c r="T30" i="39"/>
  <c r="W29" i="39"/>
  <c r="V29" i="39"/>
  <c r="U29" i="39"/>
  <c r="T29" i="39"/>
  <c r="W28" i="39"/>
  <c r="V28" i="39"/>
  <c r="U28" i="39"/>
  <c r="T28" i="39"/>
  <c r="W27" i="39"/>
  <c r="V27" i="39"/>
  <c r="U27" i="39"/>
  <c r="T27" i="39"/>
  <c r="W26" i="39"/>
  <c r="V26" i="39"/>
  <c r="U26" i="39"/>
  <c r="T26" i="39"/>
  <c r="W25" i="39"/>
  <c r="V25" i="39"/>
  <c r="U25" i="39"/>
  <c r="T25" i="39"/>
  <c r="W24" i="39"/>
  <c r="V24" i="39"/>
  <c r="U24" i="39"/>
  <c r="T24" i="39"/>
  <c r="W23" i="39"/>
  <c r="V23" i="39"/>
  <c r="U23" i="39"/>
  <c r="T23" i="39"/>
  <c r="W22" i="39"/>
  <c r="V22" i="39"/>
  <c r="U22" i="39"/>
  <c r="T22" i="39"/>
  <c r="W21" i="39"/>
  <c r="V21" i="39"/>
  <c r="U21" i="39"/>
  <c r="T21" i="39"/>
  <c r="W20" i="39"/>
  <c r="V20" i="39"/>
  <c r="U20" i="39"/>
  <c r="T20" i="39"/>
  <c r="W19" i="39"/>
  <c r="V19" i="39"/>
  <c r="U19" i="39"/>
  <c r="T19" i="39"/>
  <c r="W18" i="39"/>
  <c r="V18" i="39"/>
  <c r="U18" i="39"/>
  <c r="T18" i="39"/>
  <c r="W17" i="39"/>
  <c r="V17" i="39"/>
  <c r="U17" i="39"/>
  <c r="T17" i="39"/>
  <c r="W16" i="39"/>
  <c r="V16" i="39"/>
  <c r="U16" i="39"/>
  <c r="T16" i="39"/>
  <c r="W15" i="39"/>
  <c r="V15" i="39"/>
  <c r="U15" i="39"/>
  <c r="T15" i="39"/>
  <c r="W14" i="39"/>
  <c r="V14" i="39"/>
  <c r="U14" i="39"/>
  <c r="T14" i="39"/>
  <c r="W13" i="39"/>
  <c r="V13" i="39"/>
  <c r="U13" i="39"/>
  <c r="T13" i="39"/>
  <c r="W12" i="39"/>
  <c r="V12" i="39"/>
  <c r="U12" i="39"/>
  <c r="T12" i="39"/>
  <c r="W11" i="39"/>
  <c r="V11" i="39"/>
  <c r="U11" i="39"/>
  <c r="T11" i="39"/>
  <c r="W10" i="39"/>
  <c r="V10" i="39"/>
  <c r="U10" i="39"/>
  <c r="T10" i="39"/>
  <c r="W9" i="39"/>
  <c r="V9" i="39"/>
  <c r="U9" i="39"/>
  <c r="T9" i="39"/>
  <c r="W8" i="39"/>
  <c r="V8" i="39"/>
  <c r="U8" i="39"/>
  <c r="T8" i="39"/>
  <c r="W7" i="39"/>
  <c r="W156" i="39" s="1"/>
  <c r="V7" i="39"/>
  <c r="V156" i="39" s="1"/>
  <c r="U7" i="39"/>
  <c r="U156" i="39" s="1"/>
  <c r="T7" i="39"/>
  <c r="T156" i="39" s="1"/>
  <c r="U159" i="39" s="1"/>
  <c r="U161" i="39" s="1"/>
  <c r="H76" i="35" l="1"/>
  <c r="H6" i="35"/>
  <c r="J153" i="38" l="1"/>
  <c r="H153" i="38"/>
  <c r="G153" i="38"/>
  <c r="F153" i="38"/>
  <c r="E153" i="38"/>
  <c r="D153" i="38"/>
  <c r="C153" i="38"/>
  <c r="I152" i="38"/>
  <c r="K152" i="38" s="1"/>
  <c r="I151" i="38"/>
  <c r="K151" i="38" s="1"/>
  <c r="K150" i="38"/>
  <c r="I150" i="38"/>
  <c r="I149" i="38"/>
  <c r="K149" i="38" s="1"/>
  <c r="I148" i="38"/>
  <c r="K148" i="38" s="1"/>
  <c r="I147" i="38"/>
  <c r="K147" i="38" s="1"/>
  <c r="K146" i="38"/>
  <c r="I146" i="38"/>
  <c r="I145" i="38"/>
  <c r="K145" i="38" s="1"/>
  <c r="I144" i="38"/>
  <c r="K144" i="38" s="1"/>
  <c r="I143" i="38"/>
  <c r="K143" i="38" s="1"/>
  <c r="K142" i="38"/>
  <c r="I142" i="38"/>
  <c r="I141" i="38"/>
  <c r="K141" i="38" s="1"/>
  <c r="I140" i="38"/>
  <c r="K140" i="38" s="1"/>
  <c r="I139" i="38"/>
  <c r="K139" i="38" s="1"/>
  <c r="K138" i="38"/>
  <c r="I138" i="38"/>
  <c r="I137" i="38"/>
  <c r="K137" i="38" s="1"/>
  <c r="I136" i="38"/>
  <c r="K136" i="38" s="1"/>
  <c r="I135" i="38"/>
  <c r="K135" i="38" s="1"/>
  <c r="K134" i="38"/>
  <c r="I134" i="38"/>
  <c r="I133" i="38"/>
  <c r="K133" i="38" s="1"/>
  <c r="I132" i="38"/>
  <c r="K132" i="38" s="1"/>
  <c r="I131" i="38"/>
  <c r="K131" i="38" s="1"/>
  <c r="K130" i="38"/>
  <c r="I130" i="38"/>
  <c r="I129" i="38"/>
  <c r="K129" i="38" s="1"/>
  <c r="I128" i="38"/>
  <c r="K128" i="38" s="1"/>
  <c r="I127" i="38"/>
  <c r="K127" i="38" s="1"/>
  <c r="K126" i="38"/>
  <c r="I126" i="38"/>
  <c r="I125" i="38"/>
  <c r="K125" i="38" s="1"/>
  <c r="I124" i="38"/>
  <c r="K124" i="38" s="1"/>
  <c r="I123" i="38"/>
  <c r="K123" i="38" s="1"/>
  <c r="K122" i="38"/>
  <c r="I122" i="38"/>
  <c r="I121" i="38"/>
  <c r="K121" i="38" s="1"/>
  <c r="I120" i="38"/>
  <c r="K120" i="38" s="1"/>
  <c r="I119" i="38"/>
  <c r="K119" i="38" s="1"/>
  <c r="K118" i="38"/>
  <c r="I118" i="38"/>
  <c r="I117" i="38"/>
  <c r="K117" i="38" s="1"/>
  <c r="I116" i="38"/>
  <c r="K116" i="38" s="1"/>
  <c r="I115" i="38"/>
  <c r="K115" i="38" s="1"/>
  <c r="K114" i="38"/>
  <c r="I114" i="38"/>
  <c r="I113" i="38"/>
  <c r="K113" i="38" s="1"/>
  <c r="I112" i="38"/>
  <c r="K112" i="38" s="1"/>
  <c r="I111" i="38"/>
  <c r="K111" i="38" s="1"/>
  <c r="K110" i="38"/>
  <c r="I110" i="38"/>
  <c r="I109" i="38"/>
  <c r="K109" i="38" s="1"/>
  <c r="I108" i="38"/>
  <c r="K108" i="38" s="1"/>
  <c r="I107" i="38"/>
  <c r="K107" i="38" s="1"/>
  <c r="K106" i="38"/>
  <c r="I106" i="38"/>
  <c r="I105" i="38"/>
  <c r="K105" i="38" s="1"/>
  <c r="I104" i="38"/>
  <c r="K104" i="38" s="1"/>
  <c r="I103" i="38"/>
  <c r="K103" i="38" s="1"/>
  <c r="K102" i="38"/>
  <c r="I102" i="38"/>
  <c r="I101" i="38"/>
  <c r="K101" i="38" s="1"/>
  <c r="I100" i="38"/>
  <c r="K100" i="38" s="1"/>
  <c r="I99" i="38"/>
  <c r="K99" i="38" s="1"/>
  <c r="K98" i="38"/>
  <c r="I98" i="38"/>
  <c r="I97" i="38"/>
  <c r="K97" i="38" s="1"/>
  <c r="I96" i="38"/>
  <c r="K96" i="38" s="1"/>
  <c r="I95" i="38"/>
  <c r="K95" i="38" s="1"/>
  <c r="K94" i="38"/>
  <c r="I94" i="38"/>
  <c r="I93" i="38"/>
  <c r="K93" i="38" s="1"/>
  <c r="I92" i="38"/>
  <c r="K92" i="38" s="1"/>
  <c r="I91" i="38"/>
  <c r="K91" i="38" s="1"/>
  <c r="K90" i="38"/>
  <c r="I90" i="38"/>
  <c r="I89" i="38"/>
  <c r="K89" i="38" s="1"/>
  <c r="I88" i="38"/>
  <c r="K88" i="38" s="1"/>
  <c r="I87" i="38"/>
  <c r="K87" i="38" s="1"/>
  <c r="K86" i="38"/>
  <c r="I86" i="38"/>
  <c r="I85" i="38"/>
  <c r="K85" i="38" s="1"/>
  <c r="I84" i="38"/>
  <c r="K84" i="38" s="1"/>
  <c r="I83" i="38"/>
  <c r="K83" i="38" s="1"/>
  <c r="K82" i="38"/>
  <c r="I82" i="38"/>
  <c r="I81" i="38"/>
  <c r="K81" i="38" s="1"/>
  <c r="I80" i="38"/>
  <c r="K80" i="38" s="1"/>
  <c r="I79" i="38"/>
  <c r="K79" i="38" s="1"/>
  <c r="K78" i="38"/>
  <c r="I78" i="38"/>
  <c r="I77" i="38"/>
  <c r="K77" i="38" s="1"/>
  <c r="I76" i="38"/>
  <c r="K76" i="38" s="1"/>
  <c r="I75" i="38"/>
  <c r="K75" i="38" s="1"/>
  <c r="K74" i="38"/>
  <c r="I74" i="38"/>
  <c r="I73" i="38"/>
  <c r="K73" i="38" s="1"/>
  <c r="I72" i="38"/>
  <c r="K72" i="38" s="1"/>
  <c r="I71" i="38"/>
  <c r="K71" i="38" s="1"/>
  <c r="K70" i="38"/>
  <c r="I70" i="38"/>
  <c r="I69" i="38"/>
  <c r="K69" i="38" s="1"/>
  <c r="I68" i="38"/>
  <c r="K68" i="38" s="1"/>
  <c r="I67" i="38"/>
  <c r="K67" i="38" s="1"/>
  <c r="K66" i="38"/>
  <c r="I66" i="38"/>
  <c r="I65" i="38"/>
  <c r="K65" i="38" s="1"/>
  <c r="I64" i="38"/>
  <c r="K64" i="38" s="1"/>
  <c r="I63" i="38"/>
  <c r="K63" i="38" s="1"/>
  <c r="K62" i="38"/>
  <c r="I62" i="38"/>
  <c r="I61" i="38"/>
  <c r="K61" i="38" s="1"/>
  <c r="I60" i="38"/>
  <c r="K60" i="38" s="1"/>
  <c r="I59" i="38"/>
  <c r="K59" i="38" s="1"/>
  <c r="K58" i="38"/>
  <c r="I58" i="38"/>
  <c r="I57" i="38"/>
  <c r="K57" i="38" s="1"/>
  <c r="I56" i="38"/>
  <c r="K56" i="38" s="1"/>
  <c r="I55" i="38"/>
  <c r="K55" i="38" s="1"/>
  <c r="K54" i="38"/>
  <c r="I54" i="38"/>
  <c r="I53" i="38"/>
  <c r="K53" i="38" s="1"/>
  <c r="I52" i="38"/>
  <c r="K52" i="38" s="1"/>
  <c r="I51" i="38"/>
  <c r="K51" i="38" s="1"/>
  <c r="K50" i="38"/>
  <c r="I50" i="38"/>
  <c r="I49" i="38"/>
  <c r="K49" i="38" s="1"/>
  <c r="I48" i="38"/>
  <c r="K48" i="38" s="1"/>
  <c r="I47" i="38"/>
  <c r="K47" i="38" s="1"/>
  <c r="K46" i="38"/>
  <c r="I46" i="38"/>
  <c r="I45" i="38"/>
  <c r="K45" i="38" s="1"/>
  <c r="I44" i="38"/>
  <c r="K44" i="38" s="1"/>
  <c r="I43" i="38"/>
  <c r="K43" i="38" s="1"/>
  <c r="K42" i="38"/>
  <c r="I42" i="38"/>
  <c r="I41" i="38"/>
  <c r="K41" i="38" s="1"/>
  <c r="I40" i="38"/>
  <c r="K40" i="38" s="1"/>
  <c r="I39" i="38"/>
  <c r="K39" i="38" s="1"/>
  <c r="K38" i="38"/>
  <c r="I38" i="38"/>
  <c r="I37" i="38"/>
  <c r="K37" i="38" s="1"/>
  <c r="I36" i="38"/>
  <c r="K36" i="38" s="1"/>
  <c r="I35" i="38"/>
  <c r="K35" i="38" s="1"/>
  <c r="K34" i="38"/>
  <c r="I34" i="38"/>
  <c r="I33" i="38"/>
  <c r="K33" i="38" s="1"/>
  <c r="I32" i="38"/>
  <c r="K32" i="38" s="1"/>
  <c r="I31" i="38"/>
  <c r="K31" i="38" s="1"/>
  <c r="K30" i="38"/>
  <c r="I30" i="38"/>
  <c r="I29" i="38"/>
  <c r="K29" i="38" s="1"/>
  <c r="I28" i="38"/>
  <c r="K28" i="38" s="1"/>
  <c r="I27" i="38"/>
  <c r="K27" i="38" s="1"/>
  <c r="K26" i="38"/>
  <c r="I26" i="38"/>
  <c r="I25" i="38"/>
  <c r="K25" i="38" s="1"/>
  <c r="I24" i="38"/>
  <c r="K24" i="38" s="1"/>
  <c r="I23" i="38"/>
  <c r="K23" i="38" s="1"/>
  <c r="K22" i="38"/>
  <c r="I22" i="38"/>
  <c r="I21" i="38"/>
  <c r="K21" i="38" s="1"/>
  <c r="I20" i="38"/>
  <c r="K20" i="38" s="1"/>
  <c r="I19" i="38"/>
  <c r="K19" i="38" s="1"/>
  <c r="K18" i="38"/>
  <c r="I18" i="38"/>
  <c r="I17" i="38"/>
  <c r="K17" i="38" s="1"/>
  <c r="I16" i="38"/>
  <c r="K16" i="38" s="1"/>
  <c r="I15" i="38"/>
  <c r="K15" i="38" s="1"/>
  <c r="K14" i="38"/>
  <c r="I14" i="38"/>
  <c r="I13" i="38"/>
  <c r="K13" i="38" s="1"/>
  <c r="I12" i="38"/>
  <c r="K12" i="38" s="1"/>
  <c r="I11" i="38"/>
  <c r="K11" i="38" s="1"/>
  <c r="K10" i="38"/>
  <c r="I10" i="38"/>
  <c r="I9" i="38"/>
  <c r="K9" i="38" s="1"/>
  <c r="I8" i="38"/>
  <c r="K8" i="38" s="1"/>
  <c r="I7" i="38"/>
  <c r="I153" i="38" s="1"/>
  <c r="K6" i="38"/>
  <c r="I6" i="38"/>
  <c r="I5" i="38"/>
  <c r="K5" i="38" s="1"/>
  <c r="K7" i="38" l="1"/>
  <c r="K153" i="38" s="1"/>
  <c r="L155" i="10" l="1"/>
  <c r="D155" i="10" l="1"/>
  <c r="C13" i="22" l="1"/>
  <c r="S153" i="35"/>
  <c r="T153" i="35"/>
  <c r="G9" i="35"/>
  <c r="G10" i="35"/>
  <c r="G11" i="35"/>
  <c r="G17" i="35"/>
  <c r="G18" i="35"/>
  <c r="G19" i="35"/>
  <c r="G25" i="35"/>
  <c r="G26" i="35"/>
  <c r="G27" i="35"/>
  <c r="G33" i="35"/>
  <c r="G34" i="35"/>
  <c r="G35" i="35"/>
  <c r="G41" i="35"/>
  <c r="G42" i="35"/>
  <c r="G43" i="35"/>
  <c r="G49" i="35"/>
  <c r="G50" i="35"/>
  <c r="G51" i="35"/>
  <c r="G57" i="35"/>
  <c r="G58" i="35"/>
  <c r="G59" i="35"/>
  <c r="G64" i="35"/>
  <c r="G65" i="35"/>
  <c r="G66" i="35"/>
  <c r="G72" i="35"/>
  <c r="G73" i="35"/>
  <c r="G75" i="35"/>
  <c r="G79" i="35"/>
  <c r="G80" i="35"/>
  <c r="G81" i="35"/>
  <c r="G83" i="35"/>
  <c r="G90" i="35"/>
  <c r="G91" i="35"/>
  <c r="G95" i="35"/>
  <c r="G96" i="35"/>
  <c r="G99" i="35"/>
  <c r="G103" i="35"/>
  <c r="G104" i="35"/>
  <c r="G107" i="35"/>
  <c r="G111" i="35"/>
  <c r="G112" i="35"/>
  <c r="G115" i="35"/>
  <c r="G119" i="35"/>
  <c r="G120" i="35"/>
  <c r="G123" i="35"/>
  <c r="G127" i="35"/>
  <c r="G128" i="35"/>
  <c r="G131" i="35"/>
  <c r="G135" i="35"/>
  <c r="G136" i="35"/>
  <c r="G139" i="35"/>
  <c r="G143" i="35"/>
  <c r="G144" i="35"/>
  <c r="G147" i="35"/>
  <c r="G151" i="35"/>
  <c r="G152" i="35"/>
  <c r="G6" i="35"/>
  <c r="E13" i="35"/>
  <c r="E29" i="35"/>
  <c r="E30" i="35"/>
  <c r="E53" i="35"/>
  <c r="E61" i="35"/>
  <c r="E84" i="35"/>
  <c r="E91" i="35"/>
  <c r="E112" i="35"/>
  <c r="E122" i="35"/>
  <c r="E130" i="35"/>
  <c r="E131" i="35"/>
  <c r="E138" i="35"/>
  <c r="L152" i="35"/>
  <c r="E152" i="35"/>
  <c r="L151" i="35"/>
  <c r="H151" i="35"/>
  <c r="I151" i="35" s="1"/>
  <c r="L150" i="35"/>
  <c r="G150" i="35"/>
  <c r="H150" i="35"/>
  <c r="L149" i="35"/>
  <c r="G149" i="35"/>
  <c r="L148" i="35"/>
  <c r="G148" i="35"/>
  <c r="E148" i="35"/>
  <c r="L147" i="35"/>
  <c r="E147" i="35"/>
  <c r="L146" i="35"/>
  <c r="G146" i="35"/>
  <c r="H146" i="35"/>
  <c r="L145" i="35"/>
  <c r="G145" i="35"/>
  <c r="L144" i="35"/>
  <c r="E144" i="35"/>
  <c r="L143" i="35"/>
  <c r="H143" i="35"/>
  <c r="I143" i="35" s="1"/>
  <c r="L142" i="35"/>
  <c r="G142" i="35"/>
  <c r="E142" i="35"/>
  <c r="L141" i="35"/>
  <c r="G141" i="35"/>
  <c r="L140" i="35"/>
  <c r="G140" i="35"/>
  <c r="E140" i="35"/>
  <c r="L139" i="35"/>
  <c r="E139" i="35"/>
  <c r="L138" i="35"/>
  <c r="G138" i="35"/>
  <c r="L137" i="35"/>
  <c r="G137" i="35"/>
  <c r="L136" i="35"/>
  <c r="E136" i="35"/>
  <c r="L135" i="35"/>
  <c r="E135" i="35"/>
  <c r="L134" i="35"/>
  <c r="G134" i="35"/>
  <c r="H134" i="35"/>
  <c r="L133" i="35"/>
  <c r="G133" i="35"/>
  <c r="L132" i="35"/>
  <c r="G132" i="35"/>
  <c r="E132" i="35"/>
  <c r="L131" i="35"/>
  <c r="L130" i="35"/>
  <c r="G130" i="35"/>
  <c r="L129" i="35"/>
  <c r="G129" i="35"/>
  <c r="L128" i="35"/>
  <c r="E128" i="35"/>
  <c r="L127" i="35"/>
  <c r="H127" i="35"/>
  <c r="I127" i="35" s="1"/>
  <c r="L126" i="35"/>
  <c r="G126" i="35"/>
  <c r="E126" i="35"/>
  <c r="L125" i="35"/>
  <c r="G125" i="35"/>
  <c r="E125" i="35"/>
  <c r="L124" i="35"/>
  <c r="G124" i="35"/>
  <c r="H124" i="35"/>
  <c r="R123" i="35"/>
  <c r="L123" i="35"/>
  <c r="E123" i="35"/>
  <c r="L122" i="35"/>
  <c r="G122" i="35"/>
  <c r="L121" i="35"/>
  <c r="G121" i="35"/>
  <c r="E121" i="35"/>
  <c r="L120" i="35"/>
  <c r="E120" i="35"/>
  <c r="L119" i="35"/>
  <c r="E119" i="35"/>
  <c r="L118" i="35"/>
  <c r="G118" i="35"/>
  <c r="H118" i="35"/>
  <c r="L117" i="35"/>
  <c r="G117" i="35"/>
  <c r="H117" i="35"/>
  <c r="L116" i="35"/>
  <c r="G116" i="35"/>
  <c r="E116" i="35"/>
  <c r="L115" i="35"/>
  <c r="E115" i="35"/>
  <c r="L114" i="35"/>
  <c r="G114" i="35"/>
  <c r="E114" i="35"/>
  <c r="L113" i="35"/>
  <c r="G113" i="35"/>
  <c r="H113" i="35"/>
  <c r="L112" i="35"/>
  <c r="L111" i="35"/>
  <c r="E111" i="35"/>
  <c r="L110" i="35"/>
  <c r="G110" i="35"/>
  <c r="E110" i="35"/>
  <c r="L109" i="35"/>
  <c r="G109" i="35"/>
  <c r="E109" i="35"/>
  <c r="L108" i="35"/>
  <c r="G108" i="35"/>
  <c r="E108" i="35"/>
  <c r="L107" i="35"/>
  <c r="E107" i="35"/>
  <c r="L106" i="35"/>
  <c r="G106" i="35"/>
  <c r="E106" i="35"/>
  <c r="L105" i="35"/>
  <c r="G105" i="35"/>
  <c r="E105" i="35"/>
  <c r="L104" i="35"/>
  <c r="E104" i="35"/>
  <c r="L103" i="35"/>
  <c r="H103" i="35"/>
  <c r="L102" i="35"/>
  <c r="G102" i="35"/>
  <c r="H102" i="35"/>
  <c r="L101" i="35"/>
  <c r="G101" i="35"/>
  <c r="H101" i="35"/>
  <c r="I101" i="35" s="1"/>
  <c r="L100" i="35"/>
  <c r="G100" i="35"/>
  <c r="E100" i="35"/>
  <c r="L99" i="35"/>
  <c r="L98" i="35"/>
  <c r="G98" i="35"/>
  <c r="E98" i="35"/>
  <c r="L97" i="35"/>
  <c r="G97" i="35"/>
  <c r="H97" i="35"/>
  <c r="I97" i="35" s="1"/>
  <c r="L96" i="35"/>
  <c r="E96" i="35"/>
  <c r="L95" i="35"/>
  <c r="E95" i="35"/>
  <c r="L94" i="35"/>
  <c r="G94" i="35"/>
  <c r="L93" i="35"/>
  <c r="G93" i="35"/>
  <c r="E93" i="35"/>
  <c r="L92" i="35"/>
  <c r="G92" i="35"/>
  <c r="E92" i="35"/>
  <c r="L91" i="35"/>
  <c r="L90" i="35"/>
  <c r="L89" i="35"/>
  <c r="G89" i="35"/>
  <c r="L88" i="35"/>
  <c r="G88" i="35"/>
  <c r="E88" i="35"/>
  <c r="L87" i="35"/>
  <c r="L86" i="35"/>
  <c r="G86" i="35"/>
  <c r="L85" i="35"/>
  <c r="G85" i="35"/>
  <c r="E85" i="35"/>
  <c r="L84" i="35"/>
  <c r="G84" i="35"/>
  <c r="L83" i="35"/>
  <c r="L82" i="35"/>
  <c r="G82" i="35"/>
  <c r="L81" i="35"/>
  <c r="H81" i="35"/>
  <c r="J81" i="35" s="1"/>
  <c r="L80" i="35"/>
  <c r="H80" i="35"/>
  <c r="L79" i="35"/>
  <c r="L78" i="35"/>
  <c r="G78" i="35"/>
  <c r="L77" i="35"/>
  <c r="G77" i="35"/>
  <c r="E77" i="35"/>
  <c r="L76" i="35"/>
  <c r="G76" i="35"/>
  <c r="E76" i="35"/>
  <c r="L75" i="35"/>
  <c r="L74" i="35"/>
  <c r="G74" i="35"/>
  <c r="L73" i="35"/>
  <c r="E73" i="35"/>
  <c r="L72" i="35"/>
  <c r="L71" i="35"/>
  <c r="G71" i="35"/>
  <c r="E71" i="35"/>
  <c r="L70" i="35"/>
  <c r="G70" i="35"/>
  <c r="E70" i="35"/>
  <c r="L69" i="35"/>
  <c r="G69" i="35"/>
  <c r="H69" i="35"/>
  <c r="L68" i="35"/>
  <c r="G68" i="35"/>
  <c r="H68" i="35"/>
  <c r="L67" i="35"/>
  <c r="G67" i="35"/>
  <c r="L66" i="35"/>
  <c r="H66" i="35"/>
  <c r="I66" i="35" s="1"/>
  <c r="L65" i="35"/>
  <c r="E65" i="35"/>
  <c r="L64" i="35"/>
  <c r="E64" i="35"/>
  <c r="L63" i="35"/>
  <c r="G63" i="35"/>
  <c r="E63" i="35"/>
  <c r="L62" i="35"/>
  <c r="G62" i="35"/>
  <c r="E62" i="35"/>
  <c r="L61" i="35"/>
  <c r="G61" i="35"/>
  <c r="L60" i="35"/>
  <c r="G60" i="35"/>
  <c r="L59" i="35"/>
  <c r="H59" i="35"/>
  <c r="L58" i="35"/>
  <c r="E58" i="35"/>
  <c r="L57" i="35"/>
  <c r="H57" i="35"/>
  <c r="I57" i="35" s="1"/>
  <c r="L56" i="35"/>
  <c r="G56" i="35"/>
  <c r="E56" i="35"/>
  <c r="L55" i="35"/>
  <c r="G55" i="35"/>
  <c r="E55" i="35"/>
  <c r="L54" i="35"/>
  <c r="G54" i="35"/>
  <c r="H54" i="35"/>
  <c r="L53" i="35"/>
  <c r="G53" i="35"/>
  <c r="L52" i="35"/>
  <c r="G52" i="35"/>
  <c r="L51" i="35"/>
  <c r="H51" i="35"/>
  <c r="L50" i="35"/>
  <c r="E50" i="35"/>
  <c r="L49" i="35"/>
  <c r="E49" i="35"/>
  <c r="L48" i="35"/>
  <c r="G48" i="35"/>
  <c r="E48" i="35"/>
  <c r="L47" i="35"/>
  <c r="G47" i="35"/>
  <c r="H47" i="35"/>
  <c r="I47" i="35" s="1"/>
  <c r="L46" i="35"/>
  <c r="G46" i="35"/>
  <c r="H46" i="35"/>
  <c r="L45" i="35"/>
  <c r="G45" i="35"/>
  <c r="E45" i="35"/>
  <c r="L44" i="35"/>
  <c r="G44" i="35"/>
  <c r="L43" i="35"/>
  <c r="E43" i="35"/>
  <c r="L42" i="35"/>
  <c r="E42" i="35"/>
  <c r="L41" i="35"/>
  <c r="H41" i="35"/>
  <c r="L40" i="35"/>
  <c r="G40" i="35"/>
  <c r="L39" i="35"/>
  <c r="G39" i="35"/>
  <c r="H39" i="35"/>
  <c r="I39" i="35" s="1"/>
  <c r="L38" i="35"/>
  <c r="G38" i="35"/>
  <c r="E38" i="35"/>
  <c r="L37" i="35"/>
  <c r="G37" i="35"/>
  <c r="H37" i="35"/>
  <c r="I37" i="35" s="1"/>
  <c r="L36" i="35"/>
  <c r="G36" i="35"/>
  <c r="E36" i="35"/>
  <c r="L35" i="35"/>
  <c r="E35" i="35"/>
  <c r="L34" i="35"/>
  <c r="E34" i="35"/>
  <c r="L33" i="35"/>
  <c r="H33" i="35"/>
  <c r="L32" i="35"/>
  <c r="G32" i="35"/>
  <c r="L31" i="35"/>
  <c r="G31" i="35"/>
  <c r="H31" i="35"/>
  <c r="L30" i="35"/>
  <c r="G30" i="35"/>
  <c r="L29" i="35"/>
  <c r="G29" i="35"/>
  <c r="L28" i="35"/>
  <c r="G28" i="35"/>
  <c r="E28" i="35"/>
  <c r="L27" i="35"/>
  <c r="E27" i="35"/>
  <c r="L26" i="35"/>
  <c r="E26" i="35"/>
  <c r="L25" i="35"/>
  <c r="E25" i="35"/>
  <c r="L24" i="35"/>
  <c r="G24" i="35"/>
  <c r="L23" i="35"/>
  <c r="G23" i="35"/>
  <c r="E23" i="35"/>
  <c r="L22" i="35"/>
  <c r="G22" i="35"/>
  <c r="E22" i="35"/>
  <c r="L21" i="35"/>
  <c r="G21" i="35"/>
  <c r="E21" i="35"/>
  <c r="L20" i="35"/>
  <c r="G20" i="35"/>
  <c r="E20" i="35"/>
  <c r="L19" i="35"/>
  <c r="E19" i="35"/>
  <c r="L18" i="35"/>
  <c r="E18" i="35"/>
  <c r="L17" i="35"/>
  <c r="E17" i="35"/>
  <c r="L16" i="35"/>
  <c r="G16" i="35"/>
  <c r="L15" i="35"/>
  <c r="G15" i="35"/>
  <c r="E15" i="35"/>
  <c r="L14" i="35"/>
  <c r="G14" i="35"/>
  <c r="E14" i="35"/>
  <c r="L13" i="35"/>
  <c r="G13" i="35"/>
  <c r="L12" i="35"/>
  <c r="G12" i="35"/>
  <c r="E12" i="35"/>
  <c r="L11" i="35"/>
  <c r="E11" i="35"/>
  <c r="L10" i="35"/>
  <c r="E10" i="35"/>
  <c r="L9" i="35"/>
  <c r="E9" i="35"/>
  <c r="L8" i="35"/>
  <c r="G8" i="35"/>
  <c r="L7" i="35"/>
  <c r="G7" i="35"/>
  <c r="E7" i="35"/>
  <c r="L6" i="35"/>
  <c r="E6" i="35"/>
  <c r="K155" i="10"/>
  <c r="J155" i="10"/>
  <c r="E155" i="10"/>
  <c r="F155" i="10"/>
  <c r="G155" i="10"/>
  <c r="H155" i="10"/>
  <c r="I155" i="10"/>
  <c r="E129" i="35" l="1"/>
  <c r="E141" i="35"/>
  <c r="E149" i="35"/>
  <c r="E80" i="35"/>
  <c r="E101" i="35"/>
  <c r="E46" i="35"/>
  <c r="E72" i="35"/>
  <c r="H75" i="35"/>
  <c r="J75" i="35" s="1"/>
  <c r="E79" i="35"/>
  <c r="E83" i="35"/>
  <c r="E90" i="35"/>
  <c r="E94" i="35"/>
  <c r="E99" i="35"/>
  <c r="E133" i="35"/>
  <c r="E137" i="35"/>
  <c r="E145" i="35"/>
  <c r="E54" i="35"/>
  <c r="E8" i="35"/>
  <c r="E16" i="35"/>
  <c r="E24" i="35"/>
  <c r="H32" i="35"/>
  <c r="I32" i="35" s="1"/>
  <c r="E40" i="35"/>
  <c r="H95" i="35"/>
  <c r="I95" i="35" s="1"/>
  <c r="J102" i="35"/>
  <c r="E146" i="35"/>
  <c r="E117" i="35"/>
  <c r="E69" i="35"/>
  <c r="E44" i="35"/>
  <c r="E52" i="35"/>
  <c r="E60" i="35"/>
  <c r="E67" i="35"/>
  <c r="E74" i="35"/>
  <c r="E78" i="35"/>
  <c r="H82" i="35"/>
  <c r="I82" i="35" s="1"/>
  <c r="H86" i="35"/>
  <c r="J86" i="35" s="1"/>
  <c r="E89" i="35"/>
  <c r="E68" i="35"/>
  <c r="E37" i="35"/>
  <c r="E75" i="35"/>
  <c r="H71" i="35"/>
  <c r="J71" i="35" s="1"/>
  <c r="E59" i="35"/>
  <c r="E33" i="35"/>
  <c r="J33" i="35"/>
  <c r="H36" i="35"/>
  <c r="I36" i="35" s="1"/>
  <c r="H108" i="35"/>
  <c r="J108" i="35" s="1"/>
  <c r="I118" i="35"/>
  <c r="H125" i="35"/>
  <c r="I125" i="35" s="1"/>
  <c r="E151" i="35"/>
  <c r="E143" i="35"/>
  <c r="E127" i="35"/>
  <c r="E103" i="35"/>
  <c r="E32" i="35"/>
  <c r="E124" i="35"/>
  <c r="E87" i="35"/>
  <c r="H78" i="35"/>
  <c r="I78" i="35" s="1"/>
  <c r="H93" i="35"/>
  <c r="I93" i="35" s="1"/>
  <c r="E82" i="35"/>
  <c r="E66" i="35"/>
  <c r="E51" i="35"/>
  <c r="H70" i="35"/>
  <c r="J70" i="35" s="1"/>
  <c r="J82" i="35"/>
  <c r="K82" i="35" s="1"/>
  <c r="M82" i="35" s="1"/>
  <c r="N82" i="35" s="1"/>
  <c r="J127" i="35"/>
  <c r="K127" i="35" s="1"/>
  <c r="M127" i="35" s="1"/>
  <c r="N127" i="35" s="1"/>
  <c r="P127" i="35" s="1"/>
  <c r="R127" i="35" s="1"/>
  <c r="E113" i="35"/>
  <c r="E97" i="35"/>
  <c r="E81" i="35"/>
  <c r="E57" i="35"/>
  <c r="E41" i="35"/>
  <c r="H52" i="35"/>
  <c r="J52" i="35" s="1"/>
  <c r="H63" i="35"/>
  <c r="J63" i="35" s="1"/>
  <c r="H84" i="35"/>
  <c r="I84" i="35" s="1"/>
  <c r="H129" i="35"/>
  <c r="I129" i="35" s="1"/>
  <c r="H145" i="35"/>
  <c r="I145" i="35" s="1"/>
  <c r="E150" i="35"/>
  <c r="E134" i="35"/>
  <c r="E118" i="35"/>
  <c r="E102" i="35"/>
  <c r="E86" i="35"/>
  <c r="E47" i="35"/>
  <c r="E39" i="35"/>
  <c r="E31" i="35"/>
  <c r="J54" i="35"/>
  <c r="H77" i="35"/>
  <c r="J77" i="35" s="1"/>
  <c r="J146" i="35"/>
  <c r="H62" i="35"/>
  <c r="J62" i="35" s="1"/>
  <c r="H115" i="35"/>
  <c r="J115" i="35" s="1"/>
  <c r="H131" i="35"/>
  <c r="J131" i="35" s="1"/>
  <c r="H74" i="35"/>
  <c r="I74" i="35" s="1"/>
  <c r="H109" i="35"/>
  <c r="J109" i="35" s="1"/>
  <c r="J37" i="35"/>
  <c r="K37" i="35" s="1"/>
  <c r="M37" i="35" s="1"/>
  <c r="J57" i="35"/>
  <c r="K57" i="35" s="1"/>
  <c r="M57" i="35" s="1"/>
  <c r="I124" i="35"/>
  <c r="H64" i="35"/>
  <c r="I64" i="35" s="1"/>
  <c r="H65" i="35"/>
  <c r="I65" i="35" s="1"/>
  <c r="J66" i="35"/>
  <c r="K66" i="35" s="1"/>
  <c r="M66" i="35" s="1"/>
  <c r="N66" i="35" s="1"/>
  <c r="J80" i="35"/>
  <c r="I103" i="35"/>
  <c r="I113" i="35"/>
  <c r="H137" i="35"/>
  <c r="I137" i="35" s="1"/>
  <c r="J143" i="35"/>
  <c r="K143" i="35" s="1"/>
  <c r="M143" i="35" s="1"/>
  <c r="J39" i="35"/>
  <c r="K39" i="35" s="1"/>
  <c r="M39" i="35" s="1"/>
  <c r="H99" i="35"/>
  <c r="J99" i="35" s="1"/>
  <c r="I54" i="35"/>
  <c r="I146" i="35"/>
  <c r="J47" i="35"/>
  <c r="K47" i="35" s="1"/>
  <c r="M47" i="35" s="1"/>
  <c r="H61" i="35"/>
  <c r="I61" i="35" s="1"/>
  <c r="J68" i="35"/>
  <c r="J124" i="35"/>
  <c r="J6" i="35"/>
  <c r="J31" i="35"/>
  <c r="H40" i="35"/>
  <c r="J40" i="35" s="1"/>
  <c r="H49" i="35"/>
  <c r="J49" i="35" s="1"/>
  <c r="I51" i="35"/>
  <c r="H55" i="35"/>
  <c r="J55" i="35" s="1"/>
  <c r="H60" i="35"/>
  <c r="J60" i="35" s="1"/>
  <c r="I102" i="35"/>
  <c r="J118" i="35"/>
  <c r="H141" i="35"/>
  <c r="I141" i="35" s="1"/>
  <c r="H147" i="35"/>
  <c r="I147" i="35" s="1"/>
  <c r="H9" i="35"/>
  <c r="I9" i="35" s="1"/>
  <c r="H21" i="35"/>
  <c r="I21" i="35" s="1"/>
  <c r="H13" i="35"/>
  <c r="I13" i="35" s="1"/>
  <c r="H25" i="35"/>
  <c r="I25" i="35" s="1"/>
  <c r="H45" i="35"/>
  <c r="J45" i="35" s="1"/>
  <c r="J59" i="35"/>
  <c r="I59" i="35"/>
  <c r="H19" i="35"/>
  <c r="J19" i="35" s="1"/>
  <c r="H11" i="35"/>
  <c r="J11" i="35" s="1"/>
  <c r="H15" i="35"/>
  <c r="J15" i="35" s="1"/>
  <c r="H27" i="35"/>
  <c r="J27" i="35" s="1"/>
  <c r="H7" i="35"/>
  <c r="J7" i="35" s="1"/>
  <c r="H17" i="35"/>
  <c r="J17" i="35" s="1"/>
  <c r="H23" i="35"/>
  <c r="J23" i="35" s="1"/>
  <c r="H50" i="35"/>
  <c r="J50" i="35" s="1"/>
  <c r="H29" i="35"/>
  <c r="I29" i="35" s="1"/>
  <c r="H135" i="35"/>
  <c r="J135" i="35" s="1"/>
  <c r="H98" i="35"/>
  <c r="I98" i="35" s="1"/>
  <c r="H112" i="35"/>
  <c r="J112" i="35" s="1"/>
  <c r="H43" i="35"/>
  <c r="J43" i="35" s="1"/>
  <c r="I76" i="35"/>
  <c r="H111" i="35"/>
  <c r="I111" i="35" s="1"/>
  <c r="H72" i="35"/>
  <c r="J72" i="35" s="1"/>
  <c r="H8" i="35"/>
  <c r="J8" i="35" s="1"/>
  <c r="H12" i="35"/>
  <c r="J12" i="35" s="1"/>
  <c r="H16" i="35"/>
  <c r="J16" i="35" s="1"/>
  <c r="H20" i="35"/>
  <c r="J20" i="35" s="1"/>
  <c r="H24" i="35"/>
  <c r="J24" i="35" s="1"/>
  <c r="H28" i="35"/>
  <c r="J28" i="35" s="1"/>
  <c r="H35" i="35"/>
  <c r="I35" i="35" s="1"/>
  <c r="I41" i="35"/>
  <c r="H73" i="35"/>
  <c r="J73" i="35" s="1"/>
  <c r="I68" i="35"/>
  <c r="H119" i="35"/>
  <c r="J119" i="35" s="1"/>
  <c r="O153" i="35"/>
  <c r="H38" i="35"/>
  <c r="J38" i="35" s="1"/>
  <c r="H53" i="35"/>
  <c r="I53" i="35" s="1"/>
  <c r="H58" i="35"/>
  <c r="I58" i="35" s="1"/>
  <c r="I81" i="35"/>
  <c r="K81" i="35" s="1"/>
  <c r="M81" i="35" s="1"/>
  <c r="H10" i="35"/>
  <c r="J10" i="35" s="1"/>
  <c r="H14" i="35"/>
  <c r="J14" i="35" s="1"/>
  <c r="H18" i="35"/>
  <c r="J18" i="35" s="1"/>
  <c r="H22" i="35"/>
  <c r="J22" i="35" s="1"/>
  <c r="H26" i="35"/>
  <c r="J26" i="35" s="1"/>
  <c r="I31" i="35"/>
  <c r="H44" i="35"/>
  <c r="J44" i="35" s="1"/>
  <c r="J46" i="35"/>
  <c r="J51" i="35"/>
  <c r="H56" i="35"/>
  <c r="J56" i="35" s="1"/>
  <c r="H67" i="35"/>
  <c r="J67" i="35" s="1"/>
  <c r="I69" i="35"/>
  <c r="H79" i="35"/>
  <c r="J79" i="35" s="1"/>
  <c r="H85" i="35"/>
  <c r="J85" i="35" s="1"/>
  <c r="H88" i="35"/>
  <c r="J88" i="35" s="1"/>
  <c r="Q153" i="35"/>
  <c r="H48" i="35"/>
  <c r="J48" i="35" s="1"/>
  <c r="I33" i="35"/>
  <c r="H34" i="35"/>
  <c r="I34" i="35" s="1"/>
  <c r="J41" i="35"/>
  <c r="I46" i="35"/>
  <c r="H89" i="35"/>
  <c r="J89" i="35" s="1"/>
  <c r="H130" i="35"/>
  <c r="I130" i="35" s="1"/>
  <c r="H91" i="35"/>
  <c r="I91" i="35" s="1"/>
  <c r="H107" i="35"/>
  <c r="I107" i="35" s="1"/>
  <c r="H110" i="35"/>
  <c r="J110" i="35" s="1"/>
  <c r="I134" i="35"/>
  <c r="I150" i="35"/>
  <c r="H30" i="35"/>
  <c r="I80" i="35"/>
  <c r="H83" i="35"/>
  <c r="I86" i="35"/>
  <c r="K86" i="35" s="1"/>
  <c r="M86" i="35" s="1"/>
  <c r="H114" i="35"/>
  <c r="J114" i="35" s="1"/>
  <c r="H133" i="35"/>
  <c r="I133" i="35" s="1"/>
  <c r="C153" i="35"/>
  <c r="H42" i="35"/>
  <c r="I42" i="35" s="1"/>
  <c r="H96" i="35"/>
  <c r="J96" i="35" s="1"/>
  <c r="H121" i="35"/>
  <c r="J121" i="35" s="1"/>
  <c r="H128" i="35"/>
  <c r="J128" i="35" s="1"/>
  <c r="H144" i="35"/>
  <c r="I144" i="35" s="1"/>
  <c r="J69" i="35"/>
  <c r="H94" i="35"/>
  <c r="J94" i="35" s="1"/>
  <c r="H123" i="35"/>
  <c r="J123" i="35" s="1"/>
  <c r="H149" i="35"/>
  <c r="I149" i="35" s="1"/>
  <c r="H105" i="35"/>
  <c r="J105" i="35" s="1"/>
  <c r="I117" i="35"/>
  <c r="H126" i="35"/>
  <c r="J126" i="35" s="1"/>
  <c r="H139" i="35"/>
  <c r="I139" i="35" s="1"/>
  <c r="H92" i="35"/>
  <c r="I92" i="35" s="1"/>
  <c r="J134" i="35"/>
  <c r="H140" i="35"/>
  <c r="J140" i="35" s="1"/>
  <c r="J150" i="35"/>
  <c r="H90" i="35"/>
  <c r="J90" i="35" s="1"/>
  <c r="J103" i="35"/>
  <c r="H106" i="35"/>
  <c r="J106" i="35" s="1"/>
  <c r="H122" i="35"/>
  <c r="J122" i="35" s="1"/>
  <c r="J151" i="35"/>
  <c r="K151" i="35" s="1"/>
  <c r="M151" i="35" s="1"/>
  <c r="H152" i="35"/>
  <c r="J152" i="35" s="1"/>
  <c r="J101" i="35"/>
  <c r="K101" i="35" s="1"/>
  <c r="M101" i="35" s="1"/>
  <c r="H104" i="35"/>
  <c r="J104" i="35" s="1"/>
  <c r="J117" i="35"/>
  <c r="H120" i="35"/>
  <c r="J120" i="35" s="1"/>
  <c r="H136" i="35"/>
  <c r="J136" i="35" s="1"/>
  <c r="H142" i="35"/>
  <c r="I142" i="35" s="1"/>
  <c r="J97" i="35"/>
  <c r="K97" i="35" s="1"/>
  <c r="M97" i="35" s="1"/>
  <c r="H100" i="35"/>
  <c r="I100" i="35" s="1"/>
  <c r="J113" i="35"/>
  <c r="H116" i="35"/>
  <c r="I116" i="35" s="1"/>
  <c r="H132" i="35"/>
  <c r="J132" i="35" s="1"/>
  <c r="H138" i="35"/>
  <c r="I138" i="35" s="1"/>
  <c r="H148" i="35"/>
  <c r="J148" i="35" s="1"/>
  <c r="I26" i="35" l="1"/>
  <c r="K26" i="35" s="1"/>
  <c r="M26" i="35" s="1"/>
  <c r="N26" i="35" s="1"/>
  <c r="P26" i="35" s="1"/>
  <c r="R26" i="35" s="1"/>
  <c r="I67" i="35"/>
  <c r="K67" i="35" s="1"/>
  <c r="M67" i="35" s="1"/>
  <c r="N67" i="35" s="1"/>
  <c r="P67" i="35" s="1"/>
  <c r="R67" i="35" s="1"/>
  <c r="J149" i="35"/>
  <c r="I89" i="35"/>
  <c r="I135" i="35"/>
  <c r="K135" i="35" s="1"/>
  <c r="M135" i="35" s="1"/>
  <c r="I6" i="35"/>
  <c r="K6" i="35" s="1"/>
  <c r="J78" i="35"/>
  <c r="K78" i="35" s="1"/>
  <c r="M78" i="35" s="1"/>
  <c r="N78" i="35" s="1"/>
  <c r="P78" i="35" s="1"/>
  <c r="R78" i="35" s="1"/>
  <c r="J13" i="35"/>
  <c r="K13" i="35" s="1"/>
  <c r="M13" i="35" s="1"/>
  <c r="N13" i="35" s="1"/>
  <c r="P13" i="35" s="1"/>
  <c r="R13" i="35" s="1"/>
  <c r="J129" i="35"/>
  <c r="K129" i="35" s="1"/>
  <c r="M129" i="35" s="1"/>
  <c r="N129" i="35" s="1"/>
  <c r="P129" i="35" s="1"/>
  <c r="R129" i="35" s="1"/>
  <c r="K113" i="35"/>
  <c r="M113" i="35" s="1"/>
  <c r="I62" i="35"/>
  <c r="J142" i="35"/>
  <c r="K142" i="35" s="1"/>
  <c r="M142" i="35" s="1"/>
  <c r="N142" i="35" s="1"/>
  <c r="P142" i="35" s="1"/>
  <c r="R142" i="35" s="1"/>
  <c r="I109" i="35"/>
  <c r="K109" i="35" s="1"/>
  <c r="M109" i="35" s="1"/>
  <c r="N109" i="35" s="1"/>
  <c r="K146" i="35"/>
  <c r="M146" i="35" s="1"/>
  <c r="K80" i="35"/>
  <c r="M80" i="35" s="1"/>
  <c r="N80" i="35" s="1"/>
  <c r="P80" i="35" s="1"/>
  <c r="R80" i="35" s="1"/>
  <c r="I52" i="35"/>
  <c r="K52" i="35" s="1"/>
  <c r="M52" i="35" s="1"/>
  <c r="N52" i="35" s="1"/>
  <c r="P52" i="35" s="1"/>
  <c r="R52" i="35" s="1"/>
  <c r="K54" i="35"/>
  <c r="M54" i="35" s="1"/>
  <c r="N54" i="35" s="1"/>
  <c r="P54" i="35" s="1"/>
  <c r="R54" i="35" s="1"/>
  <c r="I75" i="35"/>
  <c r="J125" i="35"/>
  <c r="K125" i="35" s="1"/>
  <c r="M125" i="35" s="1"/>
  <c r="N125" i="35" s="1"/>
  <c r="P125" i="35" s="1"/>
  <c r="R125" i="35" s="1"/>
  <c r="E153" i="35"/>
  <c r="J32" i="35"/>
  <c r="K32" i="35" s="1"/>
  <c r="M32" i="35" s="1"/>
  <c r="N32" i="35" s="1"/>
  <c r="P32" i="35" s="1"/>
  <c r="R32" i="35" s="1"/>
  <c r="K103" i="35"/>
  <c r="M103" i="35" s="1"/>
  <c r="N103" i="35" s="1"/>
  <c r="I126" i="35"/>
  <c r="K126" i="35" s="1"/>
  <c r="M126" i="35" s="1"/>
  <c r="N126" i="35" s="1"/>
  <c r="P126" i="35" s="1"/>
  <c r="R126" i="35" s="1"/>
  <c r="I114" i="35"/>
  <c r="K114" i="35" s="1"/>
  <c r="M114" i="35" s="1"/>
  <c r="I110" i="35"/>
  <c r="K110" i="35" s="1"/>
  <c r="M110" i="35" s="1"/>
  <c r="N110" i="35" s="1"/>
  <c r="P110" i="35" s="1"/>
  <c r="R110" i="35" s="1"/>
  <c r="I112" i="35"/>
  <c r="K112" i="35" s="1"/>
  <c r="M112" i="35" s="1"/>
  <c r="I50" i="35"/>
  <c r="K50" i="35" s="1"/>
  <c r="M50" i="35" s="1"/>
  <c r="I108" i="35"/>
  <c r="K108" i="35" s="1"/>
  <c r="M108" i="35" s="1"/>
  <c r="J91" i="35"/>
  <c r="K91" i="35" s="1"/>
  <c r="M91" i="35" s="1"/>
  <c r="N91" i="35" s="1"/>
  <c r="P91" i="35" s="1"/>
  <c r="R91" i="35" s="1"/>
  <c r="J138" i="35"/>
  <c r="K138" i="35" s="1"/>
  <c r="M138" i="35" s="1"/>
  <c r="I24" i="35"/>
  <c r="K24" i="35" s="1"/>
  <c r="M24" i="35" s="1"/>
  <c r="N24" i="35" s="1"/>
  <c r="P24" i="35" s="1"/>
  <c r="R24" i="35" s="1"/>
  <c r="J84" i="35"/>
  <c r="K84" i="35" s="1"/>
  <c r="M84" i="35" s="1"/>
  <c r="N84" i="35" s="1"/>
  <c r="I70" i="35"/>
  <c r="K70" i="35" s="1"/>
  <c r="M70" i="35" s="1"/>
  <c r="N70" i="35" s="1"/>
  <c r="P70" i="35" s="1"/>
  <c r="R70" i="35" s="1"/>
  <c r="J34" i="35"/>
  <c r="K34" i="35" s="1"/>
  <c r="M34" i="35" s="1"/>
  <c r="J137" i="35"/>
  <c r="K137" i="35" s="1"/>
  <c r="M137" i="35" s="1"/>
  <c r="N137" i="35" s="1"/>
  <c r="P137" i="35" s="1"/>
  <c r="R137" i="35" s="1"/>
  <c r="K69" i="35"/>
  <c r="M69" i="35" s="1"/>
  <c r="N69" i="35" s="1"/>
  <c r="P69" i="35" s="1"/>
  <c r="R69" i="35" s="1"/>
  <c r="K118" i="35"/>
  <c r="M118" i="35" s="1"/>
  <c r="N118" i="35" s="1"/>
  <c r="P118" i="35" s="1"/>
  <c r="R118" i="35" s="1"/>
  <c r="I115" i="35"/>
  <c r="K115" i="35" s="1"/>
  <c r="M115" i="35" s="1"/>
  <c r="N115" i="35" s="1"/>
  <c r="P115" i="35" s="1"/>
  <c r="R115" i="35" s="1"/>
  <c r="H87" i="35"/>
  <c r="J87" i="35" s="1"/>
  <c r="K31" i="35"/>
  <c r="M31" i="35" s="1"/>
  <c r="N31" i="35" s="1"/>
  <c r="P31" i="35" s="1"/>
  <c r="R31" i="35" s="1"/>
  <c r="P82" i="35"/>
  <c r="R82" i="35" s="1"/>
  <c r="K102" i="35"/>
  <c r="M102" i="35" s="1"/>
  <c r="N102" i="35" s="1"/>
  <c r="P102" i="35" s="1"/>
  <c r="R102" i="35" s="1"/>
  <c r="P66" i="35"/>
  <c r="R66" i="35" s="1"/>
  <c r="J130" i="35"/>
  <c r="K130" i="35" s="1"/>
  <c r="M130" i="35" s="1"/>
  <c r="N130" i="35" s="1"/>
  <c r="P130" i="35" s="1"/>
  <c r="R130" i="35" s="1"/>
  <c r="D153" i="35"/>
  <c r="J95" i="35"/>
  <c r="K95" i="35" s="1"/>
  <c r="M95" i="35" s="1"/>
  <c r="N95" i="35" s="1"/>
  <c r="P95" i="35" s="1"/>
  <c r="R95" i="35" s="1"/>
  <c r="F153" i="35"/>
  <c r="G87" i="35"/>
  <c r="G153" i="35" s="1"/>
  <c r="I63" i="35"/>
  <c r="K63" i="35" s="1"/>
  <c r="M63" i="35" s="1"/>
  <c r="N63" i="35" s="1"/>
  <c r="P63" i="35" s="1"/>
  <c r="R63" i="35" s="1"/>
  <c r="K75" i="35"/>
  <c r="M75" i="35" s="1"/>
  <c r="N75" i="35" s="1"/>
  <c r="I120" i="35"/>
  <c r="K120" i="35" s="1"/>
  <c r="M120" i="35" s="1"/>
  <c r="N120" i="35" s="1"/>
  <c r="P120" i="35" s="1"/>
  <c r="R120" i="35" s="1"/>
  <c r="I99" i="35"/>
  <c r="K99" i="35" s="1"/>
  <c r="M99" i="35" s="1"/>
  <c r="N99" i="35" s="1"/>
  <c r="P99" i="35" s="1"/>
  <c r="R99" i="35" s="1"/>
  <c r="J74" i="35"/>
  <c r="K74" i="35" s="1"/>
  <c r="M74" i="35" s="1"/>
  <c r="N74" i="35" s="1"/>
  <c r="K46" i="35"/>
  <c r="M46" i="35" s="1"/>
  <c r="N46" i="35" s="1"/>
  <c r="P46" i="35" s="1"/>
  <c r="R46" i="35" s="1"/>
  <c r="I48" i="35"/>
  <c r="K48" i="35" s="1"/>
  <c r="M48" i="35" s="1"/>
  <c r="J61" i="35"/>
  <c r="K61" i="35" s="1"/>
  <c r="M61" i="35" s="1"/>
  <c r="J141" i="35"/>
  <c r="K141" i="35" s="1"/>
  <c r="M141" i="35" s="1"/>
  <c r="N141" i="35" s="1"/>
  <c r="P141" i="35" s="1"/>
  <c r="R141" i="35" s="1"/>
  <c r="I119" i="35"/>
  <c r="K119" i="35" s="1"/>
  <c r="M119" i="35" s="1"/>
  <c r="I60" i="35"/>
  <c r="K60" i="35" s="1"/>
  <c r="M60" i="35" s="1"/>
  <c r="N60" i="35" s="1"/>
  <c r="P60" i="35" s="1"/>
  <c r="R60" i="35" s="1"/>
  <c r="J145" i="35"/>
  <c r="K145" i="35" s="1"/>
  <c r="M145" i="35" s="1"/>
  <c r="I71" i="35"/>
  <c r="K71" i="35" s="1"/>
  <c r="M71" i="35" s="1"/>
  <c r="N71" i="35" s="1"/>
  <c r="P71" i="35" s="1"/>
  <c r="R71" i="35" s="1"/>
  <c r="J36" i="35"/>
  <c r="K36" i="35" s="1"/>
  <c r="M36" i="35" s="1"/>
  <c r="N36" i="35" s="1"/>
  <c r="J93" i="35"/>
  <c r="K93" i="35" s="1"/>
  <c r="M93" i="35" s="1"/>
  <c r="J111" i="35"/>
  <c r="K111" i="35" s="1"/>
  <c r="M111" i="35" s="1"/>
  <c r="N111" i="35" s="1"/>
  <c r="P111" i="35" s="1"/>
  <c r="R111" i="35" s="1"/>
  <c r="J107" i="35"/>
  <c r="K107" i="35" s="1"/>
  <c r="M107" i="35" s="1"/>
  <c r="K134" i="35"/>
  <c r="M134" i="35" s="1"/>
  <c r="N134" i="35" s="1"/>
  <c r="P134" i="35" s="1"/>
  <c r="R134" i="35" s="1"/>
  <c r="K33" i="35"/>
  <c r="M33" i="35" s="1"/>
  <c r="N33" i="35" s="1"/>
  <c r="I79" i="35"/>
  <c r="K79" i="35" s="1"/>
  <c r="M79" i="35" s="1"/>
  <c r="N79" i="35" s="1"/>
  <c r="P79" i="35" s="1"/>
  <c r="R79" i="35" s="1"/>
  <c r="K51" i="35"/>
  <c r="M51" i="35" s="1"/>
  <c r="N51" i="35" s="1"/>
  <c r="P51" i="35" s="1"/>
  <c r="R51" i="35" s="1"/>
  <c r="N143" i="35"/>
  <c r="P143" i="35" s="1"/>
  <c r="R143" i="35" s="1"/>
  <c r="N37" i="35"/>
  <c r="P37" i="35" s="1"/>
  <c r="R37" i="35" s="1"/>
  <c r="N39" i="35"/>
  <c r="P39" i="35" s="1"/>
  <c r="R39" i="35" s="1"/>
  <c r="J65" i="35"/>
  <c r="K65" i="35" s="1"/>
  <c r="M65" i="35" s="1"/>
  <c r="I72" i="35"/>
  <c r="K72" i="35" s="1"/>
  <c r="M72" i="35" s="1"/>
  <c r="I152" i="35"/>
  <c r="K152" i="35" s="1"/>
  <c r="M152" i="35" s="1"/>
  <c r="N152" i="35" s="1"/>
  <c r="P152" i="35" s="1"/>
  <c r="R152" i="35" s="1"/>
  <c r="J9" i="35"/>
  <c r="K9" i="35" s="1"/>
  <c r="M9" i="35" s="1"/>
  <c r="J147" i="35"/>
  <c r="K147" i="35" s="1"/>
  <c r="M147" i="35" s="1"/>
  <c r="I49" i="35"/>
  <c r="K49" i="35" s="1"/>
  <c r="M49" i="35" s="1"/>
  <c r="I132" i="35"/>
  <c r="K132" i="35" s="1"/>
  <c r="M132" i="35" s="1"/>
  <c r="N132" i="35" s="1"/>
  <c r="P132" i="35" s="1"/>
  <c r="R132" i="35" s="1"/>
  <c r="J92" i="35"/>
  <c r="K92" i="35" s="1"/>
  <c r="M92" i="35" s="1"/>
  <c r="J29" i="35"/>
  <c r="K29" i="35" s="1"/>
  <c r="M29" i="35" s="1"/>
  <c r="N29" i="35" s="1"/>
  <c r="J64" i="35"/>
  <c r="K64" i="35" s="1"/>
  <c r="M64" i="35" s="1"/>
  <c r="N64" i="35" s="1"/>
  <c r="P64" i="35" s="1"/>
  <c r="R64" i="35" s="1"/>
  <c r="I136" i="35"/>
  <c r="K136" i="35" s="1"/>
  <c r="M136" i="35" s="1"/>
  <c r="N136" i="35" s="1"/>
  <c r="P136" i="35" s="1"/>
  <c r="R136" i="35" s="1"/>
  <c r="J76" i="35"/>
  <c r="K76" i="35" s="1"/>
  <c r="M76" i="35" s="1"/>
  <c r="I77" i="35"/>
  <c r="K77" i="35" s="1"/>
  <c r="M77" i="35" s="1"/>
  <c r="N77" i="35" s="1"/>
  <c r="P77" i="35" s="1"/>
  <c r="R77" i="35" s="1"/>
  <c r="J35" i="35"/>
  <c r="K35" i="35" s="1"/>
  <c r="M35" i="35" s="1"/>
  <c r="N35" i="35" s="1"/>
  <c r="P35" i="35" s="1"/>
  <c r="R35" i="35" s="1"/>
  <c r="I55" i="35"/>
  <c r="K55" i="35" s="1"/>
  <c r="M55" i="35" s="1"/>
  <c r="N55" i="35" s="1"/>
  <c r="P55" i="35" s="1"/>
  <c r="R55" i="35" s="1"/>
  <c r="K68" i="35"/>
  <c r="M68" i="35" s="1"/>
  <c r="N68" i="35" s="1"/>
  <c r="P68" i="35" s="1"/>
  <c r="R68" i="35" s="1"/>
  <c r="I27" i="35"/>
  <c r="K27" i="35" s="1"/>
  <c r="M27" i="35" s="1"/>
  <c r="I23" i="35"/>
  <c r="K23" i="35" s="1"/>
  <c r="M23" i="35" s="1"/>
  <c r="N23" i="35" s="1"/>
  <c r="P23" i="35" s="1"/>
  <c r="R23" i="35" s="1"/>
  <c r="I45" i="35"/>
  <c r="K45" i="35" s="1"/>
  <c r="M45" i="35" s="1"/>
  <c r="N45" i="35" s="1"/>
  <c r="P45" i="35" s="1"/>
  <c r="R45" i="35" s="1"/>
  <c r="I15" i="35"/>
  <c r="K15" i="35" s="1"/>
  <c r="M15" i="35" s="1"/>
  <c r="N15" i="35" s="1"/>
  <c r="P15" i="35" s="1"/>
  <c r="R15" i="35" s="1"/>
  <c r="J98" i="35"/>
  <c r="K98" i="35" s="1"/>
  <c r="M98" i="35" s="1"/>
  <c r="I43" i="35"/>
  <c r="K43" i="35" s="1"/>
  <c r="M43" i="35" s="1"/>
  <c r="I131" i="35"/>
  <c r="K131" i="35" s="1"/>
  <c r="M131" i="35" s="1"/>
  <c r="J100" i="35"/>
  <c r="K100" i="35" s="1"/>
  <c r="M100" i="35" s="1"/>
  <c r="I8" i="35"/>
  <c r="K8" i="35" s="1"/>
  <c r="M8" i="35" s="1"/>
  <c r="N8" i="35" s="1"/>
  <c r="P8" i="35" s="1"/>
  <c r="R8" i="35" s="1"/>
  <c r="J25" i="35"/>
  <c r="K25" i="35" s="1"/>
  <c r="M25" i="35" s="1"/>
  <c r="N25" i="35" s="1"/>
  <c r="J21" i="35"/>
  <c r="K21" i="35" s="1"/>
  <c r="M21" i="35" s="1"/>
  <c r="N21" i="35" s="1"/>
  <c r="J133" i="35"/>
  <c r="K133" i="35" s="1"/>
  <c r="M133" i="35" s="1"/>
  <c r="N133" i="35" s="1"/>
  <c r="P133" i="35" s="1"/>
  <c r="R133" i="35" s="1"/>
  <c r="I40" i="35"/>
  <c r="K40" i="35" s="1"/>
  <c r="M40" i="35" s="1"/>
  <c r="N40" i="35" s="1"/>
  <c r="P40" i="35" s="1"/>
  <c r="R40" i="35" s="1"/>
  <c r="K59" i="35"/>
  <c r="M59" i="35" s="1"/>
  <c r="N59" i="35" s="1"/>
  <c r="K124" i="35"/>
  <c r="M124" i="35" s="1"/>
  <c r="N124" i="35" s="1"/>
  <c r="P124" i="35" s="1"/>
  <c r="R124" i="35" s="1"/>
  <c r="N97" i="35"/>
  <c r="P97" i="35" s="1"/>
  <c r="R97" i="35" s="1"/>
  <c r="N151" i="35"/>
  <c r="P151" i="35" s="1"/>
  <c r="R151" i="35" s="1"/>
  <c r="I104" i="35"/>
  <c r="K104" i="35" s="1"/>
  <c r="M104" i="35" s="1"/>
  <c r="I17" i="35"/>
  <c r="K17" i="35" s="1"/>
  <c r="M17" i="35" s="1"/>
  <c r="I148" i="35"/>
  <c r="K148" i="35" s="1"/>
  <c r="M148" i="35" s="1"/>
  <c r="N86" i="35"/>
  <c r="P86" i="35" s="1"/>
  <c r="R86" i="35" s="1"/>
  <c r="K89" i="35"/>
  <c r="M89" i="35" s="1"/>
  <c r="I20" i="35"/>
  <c r="K20" i="35" s="1"/>
  <c r="M20" i="35" s="1"/>
  <c r="I11" i="35"/>
  <c r="K11" i="35" s="1"/>
  <c r="M11" i="35" s="1"/>
  <c r="I105" i="35"/>
  <c r="K105" i="35" s="1"/>
  <c r="M105" i="35" s="1"/>
  <c r="J116" i="35"/>
  <c r="K116" i="35" s="1"/>
  <c r="M116" i="35" s="1"/>
  <c r="K41" i="35"/>
  <c r="M41" i="35" s="1"/>
  <c r="J144" i="35"/>
  <c r="K144" i="35" s="1"/>
  <c r="M144" i="35" s="1"/>
  <c r="I122" i="35"/>
  <c r="K122" i="35" s="1"/>
  <c r="M122" i="35" s="1"/>
  <c r="I10" i="35"/>
  <c r="K10" i="35" s="1"/>
  <c r="M10" i="35" s="1"/>
  <c r="I44" i="35"/>
  <c r="K44" i="35" s="1"/>
  <c r="M44" i="35" s="1"/>
  <c r="I96" i="35"/>
  <c r="K96" i="35" s="1"/>
  <c r="M96" i="35" s="1"/>
  <c r="I85" i="35"/>
  <c r="K85" i="35" s="1"/>
  <c r="M85" i="35" s="1"/>
  <c r="I38" i="35"/>
  <c r="K38" i="35" s="1"/>
  <c r="M38" i="35" s="1"/>
  <c r="I16" i="35"/>
  <c r="K16" i="35" s="1"/>
  <c r="M16" i="35" s="1"/>
  <c r="I14" i="35"/>
  <c r="K14" i="35" s="1"/>
  <c r="M14" i="35" s="1"/>
  <c r="J53" i="35"/>
  <c r="K53" i="35" s="1"/>
  <c r="M53" i="35" s="1"/>
  <c r="J42" i="35"/>
  <c r="K42" i="35" s="1"/>
  <c r="M42" i="35" s="1"/>
  <c r="I22" i="35"/>
  <c r="K22" i="35" s="1"/>
  <c r="M22" i="35" s="1"/>
  <c r="N57" i="35"/>
  <c r="P57" i="35" s="1"/>
  <c r="R57" i="35" s="1"/>
  <c r="I18" i="35"/>
  <c r="K18" i="35" s="1"/>
  <c r="M18" i="35" s="1"/>
  <c r="I90" i="35"/>
  <c r="K90" i="35" s="1"/>
  <c r="M90" i="35" s="1"/>
  <c r="N112" i="35"/>
  <c r="P112" i="35" s="1"/>
  <c r="R112" i="35" s="1"/>
  <c r="I121" i="35"/>
  <c r="K121" i="35" s="1"/>
  <c r="M121" i="35" s="1"/>
  <c r="I19" i="35"/>
  <c r="K19" i="35" s="1"/>
  <c r="M19" i="35" s="1"/>
  <c r="N101" i="35"/>
  <c r="P101" i="35" s="1"/>
  <c r="R101" i="35" s="1"/>
  <c r="I123" i="35"/>
  <c r="K123" i="35" s="1"/>
  <c r="M123" i="35" s="1"/>
  <c r="J83" i="35"/>
  <c r="I83" i="35"/>
  <c r="J30" i="35"/>
  <c r="I30" i="35"/>
  <c r="I140" i="35"/>
  <c r="K140" i="35" s="1"/>
  <c r="M140" i="35" s="1"/>
  <c r="I106" i="35"/>
  <c r="K106" i="35" s="1"/>
  <c r="M106" i="35" s="1"/>
  <c r="I88" i="35"/>
  <c r="K88" i="35" s="1"/>
  <c r="M88" i="35" s="1"/>
  <c r="J58" i="35"/>
  <c r="K58" i="35" s="1"/>
  <c r="M58" i="35" s="1"/>
  <c r="N81" i="35"/>
  <c r="P81" i="35" s="1"/>
  <c r="R81" i="35" s="1"/>
  <c r="I28" i="35"/>
  <c r="K28" i="35" s="1"/>
  <c r="M28" i="35" s="1"/>
  <c r="I12" i="35"/>
  <c r="K12" i="35" s="1"/>
  <c r="M12" i="35" s="1"/>
  <c r="I7" i="35"/>
  <c r="K7" i="35" s="1"/>
  <c r="M7" i="35" s="1"/>
  <c r="N47" i="35"/>
  <c r="P47" i="35" s="1"/>
  <c r="R47" i="35" s="1"/>
  <c r="I73" i="35"/>
  <c r="K73" i="35" s="1"/>
  <c r="M73" i="35" s="1"/>
  <c r="K117" i="35"/>
  <c r="M117" i="35" s="1"/>
  <c r="J139" i="35"/>
  <c r="K139" i="35" s="1"/>
  <c r="M139" i="35" s="1"/>
  <c r="N50" i="35"/>
  <c r="P50" i="35" s="1"/>
  <c r="R50" i="35" s="1"/>
  <c r="N113" i="35"/>
  <c r="P113" i="35" s="1"/>
  <c r="R113" i="35" s="1"/>
  <c r="K149" i="35"/>
  <c r="M149" i="35" s="1"/>
  <c r="I94" i="35"/>
  <c r="K94" i="35" s="1"/>
  <c r="M94" i="35" s="1"/>
  <c r="I128" i="35"/>
  <c r="K128" i="35" s="1"/>
  <c r="M128" i="35" s="1"/>
  <c r="K62" i="35"/>
  <c r="M62" i="35" s="1"/>
  <c r="K150" i="35"/>
  <c r="M150" i="35" s="1"/>
  <c r="I56" i="35"/>
  <c r="K56" i="35" s="1"/>
  <c r="M56" i="35" s="1"/>
  <c r="P109" i="35" l="1"/>
  <c r="R109" i="35" s="1"/>
  <c r="I87" i="35"/>
  <c r="K87" i="35" s="1"/>
  <c r="M87" i="35" s="1"/>
  <c r="N87" i="35" s="1"/>
  <c r="P103" i="35"/>
  <c r="R103" i="35" s="1"/>
  <c r="N146" i="35"/>
  <c r="P146" i="35" s="1"/>
  <c r="R146" i="35" s="1"/>
  <c r="P36" i="35"/>
  <c r="R36" i="35" s="1"/>
  <c r="P75" i="35"/>
  <c r="R75" i="35" s="1"/>
  <c r="P25" i="35"/>
  <c r="R25" i="35" s="1"/>
  <c r="N93" i="35"/>
  <c r="P93" i="35" s="1"/>
  <c r="R93" i="35" s="1"/>
  <c r="N107" i="35"/>
  <c r="P107" i="35" s="1"/>
  <c r="R107" i="35" s="1"/>
  <c r="P33" i="35"/>
  <c r="R33" i="35" s="1"/>
  <c r="P84" i="35"/>
  <c r="R84" i="35" s="1"/>
  <c r="P29" i="35"/>
  <c r="R29" i="35" s="1"/>
  <c r="N147" i="35"/>
  <c r="P147" i="35" s="1"/>
  <c r="R147" i="35" s="1"/>
  <c r="P59" i="35"/>
  <c r="R59" i="35" s="1"/>
  <c r="P21" i="35"/>
  <c r="R21" i="35" s="1"/>
  <c r="N145" i="35"/>
  <c r="P145" i="35" s="1"/>
  <c r="R145" i="35" s="1"/>
  <c r="N9" i="35"/>
  <c r="P9" i="35" s="1"/>
  <c r="R9" i="35" s="1"/>
  <c r="N27" i="35"/>
  <c r="P27" i="35" s="1"/>
  <c r="R27" i="35" s="1"/>
  <c r="P74" i="35"/>
  <c r="R74" i="35" s="1"/>
  <c r="N61" i="35"/>
  <c r="P61" i="35" s="1"/>
  <c r="R61" i="35" s="1"/>
  <c r="N108" i="35"/>
  <c r="P108" i="35" s="1"/>
  <c r="R108" i="35" s="1"/>
  <c r="N131" i="35"/>
  <c r="P131" i="35" s="1"/>
  <c r="R131" i="35" s="1"/>
  <c r="N49" i="35"/>
  <c r="P49" i="35" s="1"/>
  <c r="R49" i="35" s="1"/>
  <c r="K83" i="35"/>
  <c r="M83" i="35" s="1"/>
  <c r="N83" i="35" s="1"/>
  <c r="P83" i="35" s="1"/>
  <c r="R83" i="35" s="1"/>
  <c r="N58" i="35"/>
  <c r="P58" i="35" s="1"/>
  <c r="R58" i="35" s="1"/>
  <c r="N144" i="35"/>
  <c r="P144" i="35" s="1"/>
  <c r="R144" i="35" s="1"/>
  <c r="N106" i="35"/>
  <c r="P106" i="35" s="1"/>
  <c r="R106" i="35" s="1"/>
  <c r="N19" i="35"/>
  <c r="P19" i="35" s="1"/>
  <c r="R19" i="35" s="1"/>
  <c r="N72" i="35"/>
  <c r="P72" i="35" s="1"/>
  <c r="R72" i="35" s="1"/>
  <c r="N117" i="35"/>
  <c r="P117" i="35" s="1"/>
  <c r="R117" i="35" s="1"/>
  <c r="N114" i="35"/>
  <c r="P114" i="35" s="1"/>
  <c r="R114" i="35" s="1"/>
  <c r="N12" i="35"/>
  <c r="P12" i="35" s="1"/>
  <c r="R12" i="35" s="1"/>
  <c r="N38" i="35"/>
  <c r="P38" i="35" s="1"/>
  <c r="R38" i="35" s="1"/>
  <c r="N105" i="35"/>
  <c r="P105" i="35" s="1"/>
  <c r="R105" i="35" s="1"/>
  <c r="N128" i="35"/>
  <c r="P128" i="35" s="1"/>
  <c r="R128" i="35" s="1"/>
  <c r="N28" i="35"/>
  <c r="P28" i="35" s="1"/>
  <c r="R28" i="35" s="1"/>
  <c r="N42" i="35"/>
  <c r="P42" i="35" s="1"/>
  <c r="R42" i="35" s="1"/>
  <c r="N94" i="35"/>
  <c r="P94" i="35" s="1"/>
  <c r="R94" i="35" s="1"/>
  <c r="N90" i="35"/>
  <c r="P90" i="35" s="1"/>
  <c r="R90" i="35" s="1"/>
  <c r="N148" i="35"/>
  <c r="P148" i="35" s="1"/>
  <c r="R148" i="35" s="1"/>
  <c r="N116" i="35"/>
  <c r="P116" i="35" s="1"/>
  <c r="R116" i="35" s="1"/>
  <c r="N122" i="35"/>
  <c r="P122" i="35" s="1"/>
  <c r="R122" i="35" s="1"/>
  <c r="N139" i="35"/>
  <c r="P139" i="35" s="1"/>
  <c r="R139" i="35" s="1"/>
  <c r="N121" i="35"/>
  <c r="P121" i="35" s="1"/>
  <c r="R121" i="35" s="1"/>
  <c r="N98" i="35"/>
  <c r="P98" i="35" s="1"/>
  <c r="R98" i="35" s="1"/>
  <c r="N62" i="35"/>
  <c r="P62" i="35" s="1"/>
  <c r="R62" i="35" s="1"/>
  <c r="N100" i="35"/>
  <c r="P100" i="35" s="1"/>
  <c r="R100" i="35" s="1"/>
  <c r="N48" i="35"/>
  <c r="P48" i="35" s="1"/>
  <c r="R48" i="35" s="1"/>
  <c r="N34" i="35"/>
  <c r="P34" i="35" s="1"/>
  <c r="R34" i="35" s="1"/>
  <c r="N149" i="35"/>
  <c r="P149" i="35" s="1"/>
  <c r="R149" i="35" s="1"/>
  <c r="N65" i="35"/>
  <c r="P65" i="35" s="1"/>
  <c r="R65" i="35" s="1"/>
  <c r="N92" i="35"/>
  <c r="P92" i="35" s="1"/>
  <c r="R92" i="35" s="1"/>
  <c r="N119" i="35"/>
  <c r="P119" i="35" s="1"/>
  <c r="R119" i="35" s="1"/>
  <c r="N7" i="35"/>
  <c r="P7" i="35" s="1"/>
  <c r="R7" i="35" s="1"/>
  <c r="K30" i="35"/>
  <c r="M30" i="35" s="1"/>
  <c r="N123" i="35"/>
  <c r="P123" i="35" s="1"/>
  <c r="N22" i="35"/>
  <c r="P22" i="35" s="1"/>
  <c r="R22" i="35" s="1"/>
  <c r="N85" i="35"/>
  <c r="P85" i="35" s="1"/>
  <c r="R85" i="35" s="1"/>
  <c r="N11" i="35"/>
  <c r="P11" i="35" s="1"/>
  <c r="R11" i="35" s="1"/>
  <c r="N17" i="35"/>
  <c r="P17" i="35" s="1"/>
  <c r="R17" i="35" s="1"/>
  <c r="N53" i="35"/>
  <c r="P53" i="35" s="1"/>
  <c r="R53" i="35" s="1"/>
  <c r="N14" i="35"/>
  <c r="P14" i="35" s="1"/>
  <c r="R14" i="35" s="1"/>
  <c r="N150" i="35"/>
  <c r="P150" i="35" s="1"/>
  <c r="R150" i="35" s="1"/>
  <c r="N140" i="35"/>
  <c r="P140" i="35" s="1"/>
  <c r="R140" i="35" s="1"/>
  <c r="N16" i="35"/>
  <c r="P16" i="35" s="1"/>
  <c r="R16" i="35" s="1"/>
  <c r="N89" i="35"/>
  <c r="P89" i="35" s="1"/>
  <c r="R89" i="35" s="1"/>
  <c r="N73" i="35"/>
  <c r="P73" i="35" s="1"/>
  <c r="R73" i="35" s="1"/>
  <c r="N96" i="35"/>
  <c r="P96" i="35" s="1"/>
  <c r="R96" i="35" s="1"/>
  <c r="N138" i="35"/>
  <c r="P138" i="35" s="1"/>
  <c r="R138" i="35" s="1"/>
  <c r="N41" i="35"/>
  <c r="P41" i="35" s="1"/>
  <c r="R41" i="35" s="1"/>
  <c r="N56" i="35"/>
  <c r="P56" i="35" s="1"/>
  <c r="R56" i="35" s="1"/>
  <c r="M6" i="35"/>
  <c r="N76" i="35"/>
  <c r="P76" i="35" s="1"/>
  <c r="R76" i="35" s="1"/>
  <c r="N43" i="35"/>
  <c r="P43" i="35" s="1"/>
  <c r="R43" i="35" s="1"/>
  <c r="N44" i="35"/>
  <c r="P44" i="35" s="1"/>
  <c r="R44" i="35" s="1"/>
  <c r="N20" i="35"/>
  <c r="P20" i="35" s="1"/>
  <c r="R20" i="35" s="1"/>
  <c r="N135" i="35"/>
  <c r="P135" i="35" s="1"/>
  <c r="R135" i="35" s="1"/>
  <c r="I153" i="35"/>
  <c r="N88" i="35"/>
  <c r="P88" i="35" s="1"/>
  <c r="R88" i="35" s="1"/>
  <c r="N18" i="35"/>
  <c r="P18" i="35" s="1"/>
  <c r="R18" i="35" s="1"/>
  <c r="N10" i="35"/>
  <c r="P10" i="35" s="1"/>
  <c r="R10" i="35" s="1"/>
  <c r="N104" i="35"/>
  <c r="P104" i="35" s="1"/>
  <c r="R104" i="35" s="1"/>
  <c r="P87" i="35" l="1"/>
  <c r="R87" i="35" s="1"/>
  <c r="K153" i="35"/>
  <c r="N6" i="35"/>
  <c r="P6" i="35" s="1"/>
  <c r="N30" i="35"/>
  <c r="P30" i="35" s="1"/>
  <c r="R30" i="35" s="1"/>
  <c r="P153" i="35" l="1"/>
  <c r="R6" i="35"/>
  <c r="R153" i="35" s="1"/>
  <c r="D20" i="22" l="1"/>
  <c r="D13" i="22"/>
  <c r="A2" i="22" l="1"/>
  <c r="C15" i="22" l="1"/>
  <c r="D15" i="22" l="1"/>
  <c r="E15" i="22" s="1"/>
  <c r="C4" i="1" l="1"/>
  <c r="B49" i="1" s="1"/>
  <c r="B52" i="1" l="1"/>
  <c r="D40" i="1"/>
  <c r="D42" i="1" s="1"/>
  <c r="D44" i="1" s="1"/>
  <c r="C40" i="1"/>
  <c r="C42" i="1" s="1"/>
  <c r="B40" i="1"/>
  <c r="D8" i="22"/>
  <c r="B33" i="1"/>
  <c r="B34" i="1" s="1"/>
  <c r="C2" i="22"/>
  <c r="D5" i="22" l="1"/>
  <c r="C28" i="22"/>
  <c r="C9" i="22"/>
  <c r="C27" i="22"/>
  <c r="C8" i="22"/>
  <c r="E8" i="22" s="1"/>
  <c r="C6" i="22"/>
  <c r="C5" i="22"/>
  <c r="C44" i="1"/>
  <c r="B42" i="1"/>
  <c r="B44" i="1" s="1"/>
  <c r="E40" i="1"/>
  <c r="E5" i="22" l="1"/>
  <c r="C7" i="22"/>
  <c r="C10" i="22" s="1"/>
  <c r="E44" i="1"/>
  <c r="B50" i="1" s="1"/>
  <c r="E42" i="1"/>
  <c r="D28" i="22"/>
  <c r="E28" i="22" s="1"/>
  <c r="C17" i="22" l="1"/>
  <c r="C21" i="22" l="1"/>
  <c r="C23" i="22" s="1"/>
  <c r="C30" i="22" s="1"/>
  <c r="C74" i="10" l="1"/>
  <c r="C155" i="10" s="1"/>
  <c r="C136" i="10"/>
  <c r="D27" i="22" l="1"/>
  <c r="B23" i="1"/>
  <c r="E27" i="22" l="1"/>
  <c r="B51" i="1"/>
  <c r="B15" i="1"/>
  <c r="D6" i="22" l="1"/>
  <c r="D7" i="22" s="1"/>
  <c r="E7" i="22" l="1"/>
  <c r="B16" i="1"/>
  <c r="D9" i="22" s="1"/>
  <c r="D10" i="22" l="1"/>
  <c r="B18" i="1"/>
  <c r="D17" i="22" l="1"/>
  <c r="E10" i="22"/>
  <c r="B24" i="1"/>
  <c r="D21" i="22" l="1"/>
  <c r="D23" i="22" s="1"/>
  <c r="D30" i="22" s="1"/>
  <c r="E17" i="22"/>
  <c r="B28" i="1"/>
  <c r="B36" i="1" s="1"/>
  <c r="E21" i="22" l="1"/>
  <c r="B47" i="1"/>
  <c r="B53" i="1" s="1"/>
  <c r="E23" i="22" l="1"/>
  <c r="E30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Woodmansey, Susan</author>
  </authors>
  <commentList>
    <comment ref="H6" authorId="0" shapeId="0" xr:uid="{AF452879-706B-439A-AE3E-4676C740BDA7}">
      <text>
        <r>
          <rPr>
            <sz val="9"/>
            <color indexed="81"/>
            <rFont val="Tahoma"/>
            <family val="2"/>
          </rPr>
          <t>Remove Fall SAFE count of APA and Dakota Reach students before calculating the ratio.
SDCL 13-13-10.1 (2)</t>
        </r>
      </text>
    </comment>
    <comment ref="H76" authorId="0" shapeId="0" xr:uid="{5B327DB7-A6AB-44CD-95B2-2842DA2E758A}">
      <text>
        <r>
          <rPr>
            <sz val="9"/>
            <color indexed="81"/>
            <rFont val="Tahoma"/>
            <family val="2"/>
          </rPr>
          <t>Remove Fall SAFE count of Our Home students before calculating the ratio.
SDCL 13-13-10.1 (2)</t>
        </r>
      </text>
    </comment>
    <comment ref="R155" authorId="0" shapeId="0" xr:uid="{10EF857E-FD99-4417-85ED-0F8B770CE0D7}">
      <text>
        <r>
          <rPr>
            <sz val="9"/>
            <color indexed="81"/>
            <rFont val="Tahoma"/>
            <family val="2"/>
          </rPr>
          <t>As per SDCL 13-13-82 student count * PSE</t>
        </r>
      </text>
    </comment>
  </commentList>
</comments>
</file>

<file path=xl/sharedStrings.xml><?xml version="1.0" encoding="utf-8"?>
<sst xmlns="http://schemas.openxmlformats.org/spreadsheetml/2006/main" count="1107" uniqueCount="490">
  <si>
    <t>LEP Adjustment</t>
  </si>
  <si>
    <t>Weighted LEP Student Count</t>
  </si>
  <si>
    <t>Formula Number of Certified Instructional Staff FTE:</t>
  </si>
  <si>
    <t>Formula Number of Certified Instructional Staff FTE</t>
  </si>
  <si>
    <t>Formula Certified Instructional Staff Salary/Benefit Need:</t>
  </si>
  <si>
    <t>Target Certified Instructional Staff Salaries + Benefits</t>
  </si>
  <si>
    <t>Need based on Certified Instructional Staff Salaries/Benefits</t>
  </si>
  <si>
    <t>MINUS</t>
  </si>
  <si>
    <t xml:space="preserve">Target Certified Instructional Staff Salary </t>
  </si>
  <si>
    <t>Utility TIF</t>
  </si>
  <si>
    <t>ABERDEEN</t>
  </si>
  <si>
    <t>ANDES CENTRAL</t>
  </si>
  <si>
    <t>ARLINGTON</t>
  </si>
  <si>
    <t>ARMOUR</t>
  </si>
  <si>
    <t>AVON</t>
  </si>
  <si>
    <t>BALTIC</t>
  </si>
  <si>
    <t>BELLE FOURCHE</t>
  </si>
  <si>
    <t>BENNETT COUNTY</t>
  </si>
  <si>
    <t>BERESFORD</t>
  </si>
  <si>
    <t>BIG STONE CITY</t>
  </si>
  <si>
    <t>BISON</t>
  </si>
  <si>
    <t>BON HOMME</t>
  </si>
  <si>
    <t>BOWDLE</t>
  </si>
  <si>
    <t>BRANDON VALLEY</t>
  </si>
  <si>
    <t>BRIDGEWATER - EMERY</t>
  </si>
  <si>
    <t>BRITTON - HECLA</t>
  </si>
  <si>
    <t>BROOKINGS</t>
  </si>
  <si>
    <t>BURKE</t>
  </si>
  <si>
    <t>CANISTOTA</t>
  </si>
  <si>
    <t>CANTON</t>
  </si>
  <si>
    <t>CASTLEWOOD</t>
  </si>
  <si>
    <t>CENTERVILLE</t>
  </si>
  <si>
    <t>CHAMBERLAIN</t>
  </si>
  <si>
    <t>CHESTER AREA</t>
  </si>
  <si>
    <t>CLARK</t>
  </si>
  <si>
    <t>CUSTER</t>
  </si>
  <si>
    <t>DAKOTA VALLEY</t>
  </si>
  <si>
    <t>DE SMET</t>
  </si>
  <si>
    <t>DELL RAPIDS</t>
  </si>
  <si>
    <t>DEUBROOK AREA</t>
  </si>
  <si>
    <t>DEUEL</t>
  </si>
  <si>
    <t>DOLAND</t>
  </si>
  <si>
    <t>DOUGLAS</t>
  </si>
  <si>
    <t>DUPREE</t>
  </si>
  <si>
    <t>EAGLE BUTTE</t>
  </si>
  <si>
    <t>EDGEMONT</t>
  </si>
  <si>
    <t>EDMUNDS CENTRAL</t>
  </si>
  <si>
    <t>ELK MOUNTAIN</t>
  </si>
  <si>
    <t>ELK POINT-JEFFERSON</t>
  </si>
  <si>
    <t>ELKTON</t>
  </si>
  <si>
    <t>ESTELLINE</t>
  </si>
  <si>
    <t>ETHAN</t>
  </si>
  <si>
    <t>EUREKA</t>
  </si>
  <si>
    <t>FAITH</t>
  </si>
  <si>
    <t>FLANDREAU</t>
  </si>
  <si>
    <t>FLORENCE</t>
  </si>
  <si>
    <t>FREDERICK AREA</t>
  </si>
  <si>
    <t>FREEMAN</t>
  </si>
  <si>
    <t>GARRETSON</t>
  </si>
  <si>
    <t>GAYVILLE-VOLIN</t>
  </si>
  <si>
    <t>GETTYSBURG</t>
  </si>
  <si>
    <t>GREGORY</t>
  </si>
  <si>
    <t>GROTON AREA</t>
  </si>
  <si>
    <t>HAAKON</t>
  </si>
  <si>
    <t>HAMLIN</t>
  </si>
  <si>
    <t>HANSON</t>
  </si>
  <si>
    <t>HARDING COUNTY</t>
  </si>
  <si>
    <t>HARRISBURG</t>
  </si>
  <si>
    <t>HENRY</t>
  </si>
  <si>
    <t>HERREID</t>
  </si>
  <si>
    <t>HILL CITY</t>
  </si>
  <si>
    <t>HOT SPRINGS</t>
  </si>
  <si>
    <t>HOVEN</t>
  </si>
  <si>
    <t>HOWARD</t>
  </si>
  <si>
    <t>HURON</t>
  </si>
  <si>
    <t>IPSWICH PUBLIC</t>
  </si>
  <si>
    <t>IROQUOIS</t>
  </si>
  <si>
    <t>JONES COUNTY</t>
  </si>
  <si>
    <t>KADOKA AREA</t>
  </si>
  <si>
    <t>KIMBALL</t>
  </si>
  <si>
    <t>LAKE PRESTON</t>
  </si>
  <si>
    <t>LANGFORD AREA</t>
  </si>
  <si>
    <t>LEAD-DEADWOOD</t>
  </si>
  <si>
    <t>LEMMON</t>
  </si>
  <si>
    <t>LENNOX</t>
  </si>
  <si>
    <t>LEOLA</t>
  </si>
  <si>
    <t>LYMAN</t>
  </si>
  <si>
    <t>MADISON CENTRAL</t>
  </si>
  <si>
    <t>MARION</t>
  </si>
  <si>
    <t>MC INTOSH</t>
  </si>
  <si>
    <t>MC LAUGHLIN</t>
  </si>
  <si>
    <t>MEADE</t>
  </si>
  <si>
    <t>MENNO</t>
  </si>
  <si>
    <t>MILBANK</t>
  </si>
  <si>
    <t>MILLER AREA</t>
  </si>
  <si>
    <t>MITCHELL</t>
  </si>
  <si>
    <t>MONTROSE</t>
  </si>
  <si>
    <t>MOUNT VERNON</t>
  </si>
  <si>
    <t>NEW UNDERWOOD</t>
  </si>
  <si>
    <t>NEWELL</t>
  </si>
  <si>
    <t>NORTHWESTERN AREA</t>
  </si>
  <si>
    <t>OELRICHS</t>
  </si>
  <si>
    <t>PARKER</t>
  </si>
  <si>
    <t>PARKSTON</t>
  </si>
  <si>
    <t>PIERRE</t>
  </si>
  <si>
    <t>PLANKINTON</t>
  </si>
  <si>
    <t>RAPID CITY</t>
  </si>
  <si>
    <t>REDFIELD</t>
  </si>
  <si>
    <t>ROSHOLT</t>
  </si>
  <si>
    <t>SANBORN CENTRAL</t>
  </si>
  <si>
    <t>SCOTLAND</t>
  </si>
  <si>
    <t>SELBY AREA</t>
  </si>
  <si>
    <t>SIOUX FALLS</t>
  </si>
  <si>
    <t>SIOUX VALLEY</t>
  </si>
  <si>
    <t>SMEE</t>
  </si>
  <si>
    <t>SOUTH CENTRAL</t>
  </si>
  <si>
    <t>SPEARFISH</t>
  </si>
  <si>
    <t>STANLEY COUNTY</t>
  </si>
  <si>
    <t>SUMMIT</t>
  </si>
  <si>
    <t>TEA AREA</t>
  </si>
  <si>
    <t>TIMBER LAKE</t>
  </si>
  <si>
    <t>TODD COUNTY</t>
  </si>
  <si>
    <t>TRI-VALLEY</t>
  </si>
  <si>
    <t>VERMILLION</t>
  </si>
  <si>
    <t>WAGNER COMMUNITY</t>
  </si>
  <si>
    <t>WALL</t>
  </si>
  <si>
    <t>WARNER</t>
  </si>
  <si>
    <t>WATERTOWN</t>
  </si>
  <si>
    <t>WAUBAY</t>
  </si>
  <si>
    <t>WAVERLY</t>
  </si>
  <si>
    <t>WEBSTER AREA</t>
  </si>
  <si>
    <t>WESSINGTON SPRINGS</t>
  </si>
  <si>
    <t>WEST CENTRAL</t>
  </si>
  <si>
    <t>WHITE LAKE</t>
  </si>
  <si>
    <t>WHITE RIVER</t>
  </si>
  <si>
    <t>WILLOW LAKE</t>
  </si>
  <si>
    <t>WILMOT</t>
  </si>
  <si>
    <t>WINNER</t>
  </si>
  <si>
    <t>WOONSOCKET</t>
  </si>
  <si>
    <t>YANKTON</t>
  </si>
  <si>
    <t xml:space="preserve"> </t>
  </si>
  <si>
    <t>Dist#</t>
  </si>
  <si>
    <t>District Name</t>
  </si>
  <si>
    <t>Aberdeen 06-1</t>
  </si>
  <si>
    <t>Agar-Blunt-Onida 58-3</t>
  </si>
  <si>
    <t>Alcester-Hudson 61-1</t>
  </si>
  <si>
    <t>Andes Central 11-1</t>
  </si>
  <si>
    <t>Arlington 38-1</t>
  </si>
  <si>
    <t>Armour 21-1</t>
  </si>
  <si>
    <t>Avon 04-1</t>
  </si>
  <si>
    <t>Baltic 49-1</t>
  </si>
  <si>
    <t>Belle Fourche 09-1</t>
  </si>
  <si>
    <t>Bennett County 03-1</t>
  </si>
  <si>
    <t>Beresford 61-2</t>
  </si>
  <si>
    <t>Big Stone City 25-1</t>
  </si>
  <si>
    <t>Bison 52-1</t>
  </si>
  <si>
    <t>Bon Homme 04-2</t>
  </si>
  <si>
    <t>Bowdle 22-1</t>
  </si>
  <si>
    <t>Brandon Valley 49-2</t>
  </si>
  <si>
    <t>Bridgewater-Emery 30-3</t>
  </si>
  <si>
    <t>Britton-Hecla 45-4</t>
  </si>
  <si>
    <t>Brookings 05-1</t>
  </si>
  <si>
    <t>Burke 26-2</t>
  </si>
  <si>
    <t>Canistota 43-1</t>
  </si>
  <si>
    <t>Canton 41-1</t>
  </si>
  <si>
    <t>Castlewood 28-1</t>
  </si>
  <si>
    <t>Centerville 60-1</t>
  </si>
  <si>
    <t>Chamberlain 07-1</t>
  </si>
  <si>
    <t>Chester Area 39-1</t>
  </si>
  <si>
    <t>Clark 12-2</t>
  </si>
  <si>
    <t>Colman-Egan 50-5</t>
  </si>
  <si>
    <t>Colome Consolidated 59-3</t>
  </si>
  <si>
    <t>Corsica-Stickney 21-3</t>
  </si>
  <si>
    <t>Custer 16-1</t>
  </si>
  <si>
    <t>Dakota Valley 61-8</t>
  </si>
  <si>
    <t>De Smet 38-2</t>
  </si>
  <si>
    <t>Dell Rapids 49-3</t>
  </si>
  <si>
    <t>Deubrook Area 05-6</t>
  </si>
  <si>
    <t>Deuel 19-4</t>
  </si>
  <si>
    <t>Doland 56-2</t>
  </si>
  <si>
    <t>Douglas 51-1</t>
  </si>
  <si>
    <t>Dupree 64-2</t>
  </si>
  <si>
    <t>Eagle Butte 20-1</t>
  </si>
  <si>
    <t>Edgemont 23-1</t>
  </si>
  <si>
    <t>Edmunds Central 22-5</t>
  </si>
  <si>
    <t>Elk Mountain 16-2</t>
  </si>
  <si>
    <t>Elk Point-Jefferson 61-7</t>
  </si>
  <si>
    <t>Elkton 05-3</t>
  </si>
  <si>
    <t>Estelline 28-2</t>
  </si>
  <si>
    <t>Ethan 17-1</t>
  </si>
  <si>
    <t>Eureka 44-1</t>
  </si>
  <si>
    <t>Faith 46-2</t>
  </si>
  <si>
    <t>Faulkton Area Schools 24-4</t>
  </si>
  <si>
    <t>Flandreau 50-3</t>
  </si>
  <si>
    <t>Florence 14-1</t>
  </si>
  <si>
    <t>Frederick Area 06-2</t>
  </si>
  <si>
    <t>Freeman 33-1</t>
  </si>
  <si>
    <t>Garretson 49-4</t>
  </si>
  <si>
    <t>Gayville-Volin 63-1</t>
  </si>
  <si>
    <t>Gettysburg 53-1</t>
  </si>
  <si>
    <t>Gregory 26-4</t>
  </si>
  <si>
    <t>Groton Area 06-6</t>
  </si>
  <si>
    <t>Haakon 27-1</t>
  </si>
  <si>
    <t>Hamlin 28-3</t>
  </si>
  <si>
    <t>Hanson 30-1</t>
  </si>
  <si>
    <t>Harding County 31-1</t>
  </si>
  <si>
    <t>Harrisburg 41-2</t>
  </si>
  <si>
    <t>Henry 14-2</t>
  </si>
  <si>
    <t>Herreid 10-1</t>
  </si>
  <si>
    <t>Highmore-Harrold 34-2</t>
  </si>
  <si>
    <t>Hill City 51-2</t>
  </si>
  <si>
    <t>Hitchcock-Tulare 56-6</t>
  </si>
  <si>
    <t>Hot Springs 23-2</t>
  </si>
  <si>
    <t>Hoven 53-2</t>
  </si>
  <si>
    <t>Howard 48-3</t>
  </si>
  <si>
    <t>Huron 02-2</t>
  </si>
  <si>
    <t>Ipswich Public 22-6</t>
  </si>
  <si>
    <t>Irene-Wakonda 13-3</t>
  </si>
  <si>
    <t>Iroquois 02-3</t>
  </si>
  <si>
    <t>Jones County 37-3</t>
  </si>
  <si>
    <t>Kadoka Area 35-2</t>
  </si>
  <si>
    <t>Kimball 07-2</t>
  </si>
  <si>
    <t>Lake Preston 38-3</t>
  </si>
  <si>
    <t>Langford Area 45-5</t>
  </si>
  <si>
    <t>Lead-Deadwood 40-1</t>
  </si>
  <si>
    <t>Lemmon 52-4</t>
  </si>
  <si>
    <t>Lennox 41-4</t>
  </si>
  <si>
    <t>Leola 44-2</t>
  </si>
  <si>
    <t>Lyman 42-1</t>
  </si>
  <si>
    <t>Madison Central 39-2</t>
  </si>
  <si>
    <t>Marion 60-3</t>
  </si>
  <si>
    <t>McCook Central 43-7</t>
  </si>
  <si>
    <t>McIntosh 15-1</t>
  </si>
  <si>
    <t>McLaughlin 15-2</t>
  </si>
  <si>
    <t>Meade 46-1</t>
  </si>
  <si>
    <t>Menno 33-2</t>
  </si>
  <si>
    <t>Milbank 25-4</t>
  </si>
  <si>
    <t>Miller 29-4</t>
  </si>
  <si>
    <t>Mitchell 17-2</t>
  </si>
  <si>
    <t>Mobridge-Pollock 62-6</t>
  </si>
  <si>
    <t>Montrose 43-2</t>
  </si>
  <si>
    <t>Mount Vernon 17-3</t>
  </si>
  <si>
    <t>New Underwood 51-3</t>
  </si>
  <si>
    <t>Newell 09-2</t>
  </si>
  <si>
    <t>Northwestern Area 56-7</t>
  </si>
  <si>
    <t>Oelrichs 23-3</t>
  </si>
  <si>
    <t>Oglala Lakota 65-1</t>
  </si>
  <si>
    <t>Oldham-Ramona 39-5</t>
  </si>
  <si>
    <t>Parker 60-4</t>
  </si>
  <si>
    <t>Parkston 33-3</t>
  </si>
  <si>
    <t>Pierre 32-2</t>
  </si>
  <si>
    <t>Plankinton 01-1</t>
  </si>
  <si>
    <t>Platte-Geddes 11-5</t>
  </si>
  <si>
    <t>Rapid City Area 51-4</t>
  </si>
  <si>
    <t>Redfield 56-4</t>
  </si>
  <si>
    <t>Rosholt 54-4</t>
  </si>
  <si>
    <t>Rutland 39-4</t>
  </si>
  <si>
    <t>Sanborn Central 55-5</t>
  </si>
  <si>
    <t>Scotland 04-3</t>
  </si>
  <si>
    <t>Selby Area 62-5</t>
  </si>
  <si>
    <t>Sioux Falls 49-5</t>
  </si>
  <si>
    <t>Sioux Valley 05-5</t>
  </si>
  <si>
    <t>Sisseton 54-2</t>
  </si>
  <si>
    <t>Smee 15-3</t>
  </si>
  <si>
    <t>South Central 26-5</t>
  </si>
  <si>
    <t>Spearfish 40-2</t>
  </si>
  <si>
    <t>Stanley County 57-1</t>
  </si>
  <si>
    <t>Summit 54-6</t>
  </si>
  <si>
    <t>Tea Area 41-5</t>
  </si>
  <si>
    <t>Timber Lake 20-3</t>
  </si>
  <si>
    <t>Todd County 66-1</t>
  </si>
  <si>
    <t>Tripp-Delmont 33-5</t>
  </si>
  <si>
    <t>Tri-Valley 49-6</t>
  </si>
  <si>
    <t>Vermillion 13-1</t>
  </si>
  <si>
    <t>Viborg-Hurley 60-6</t>
  </si>
  <si>
    <t>Wagner Community 11-4</t>
  </si>
  <si>
    <t>Wall 51-5</t>
  </si>
  <si>
    <t>Warner 06-5</t>
  </si>
  <si>
    <t>Watertown 14-4</t>
  </si>
  <si>
    <t>Waubay 18-3</t>
  </si>
  <si>
    <t>Waverly 14-5</t>
  </si>
  <si>
    <t>Webster Area 18-5</t>
  </si>
  <si>
    <t>Wessington Springs 36-2</t>
  </si>
  <si>
    <t>West Central 49-7</t>
  </si>
  <si>
    <t>White Lake 01-3</t>
  </si>
  <si>
    <t>White River 47-1</t>
  </si>
  <si>
    <t>Willow Lake 12-3</t>
  </si>
  <si>
    <t>Wilmot 54-7</t>
  </si>
  <si>
    <t>Winner 59-2</t>
  </si>
  <si>
    <t>Wolsey-Wessington 02-6</t>
  </si>
  <si>
    <t>Woonsocket 55-4</t>
  </si>
  <si>
    <t>Yankton 63-3</t>
  </si>
  <si>
    <t>Grant-Deuel 25-3</t>
  </si>
  <si>
    <t>Wagner 11-4</t>
  </si>
  <si>
    <t>Selby 62-5</t>
  </si>
  <si>
    <t>Oglala Lakota County 65-1</t>
  </si>
  <si>
    <t>Faulkton Area 24-4</t>
  </si>
  <si>
    <t>Deubrook 05-6</t>
  </si>
  <si>
    <t>Chester 39-1</t>
  </si>
  <si>
    <t xml:space="preserve"> 2018 State Aid Fall Enrollment</t>
  </si>
  <si>
    <t>AG</t>
  </si>
  <si>
    <t>Other</t>
  </si>
  <si>
    <t>STATEWIDE TOTAL</t>
  </si>
  <si>
    <t>Miller  29-4</t>
  </si>
  <si>
    <t>Lead-Deadwood</t>
  </si>
  <si>
    <t xml:space="preserve"> 2017 State Aid Fall Enrollment</t>
  </si>
  <si>
    <t xml:space="preserve"> 2016 State Aid Fall Enrollment</t>
  </si>
  <si>
    <t>2015 State Aid Fall Enrollment</t>
  </si>
  <si>
    <t>HISTORY OF STATE AID FALL ENROLLMENTS</t>
  </si>
  <si>
    <t>Total</t>
  </si>
  <si>
    <t>Total Formula Number of Certified Staff FTE</t>
  </si>
  <si>
    <t>TOTAL GENERAL STATE AID NEED</t>
  </si>
  <si>
    <t>Owner-Occupied</t>
  </si>
  <si>
    <t>*Double check valuations with County Auditor(s)</t>
  </si>
  <si>
    <t>2019 State Aid Fall Enrollment</t>
  </si>
  <si>
    <t>Taxable</t>
  </si>
  <si>
    <t>Local Effort</t>
  </si>
  <si>
    <t>Ag Disc</t>
  </si>
  <si>
    <t>OO Disc</t>
  </si>
  <si>
    <t>M Disc</t>
  </si>
  <si>
    <t>MOO Disc</t>
  </si>
  <si>
    <t>Oth Disc</t>
  </si>
  <si>
    <t>Ag TIF</t>
  </si>
  <si>
    <t>OO TIF</t>
  </si>
  <si>
    <t>M TIF</t>
  </si>
  <si>
    <t>Oth TIF</t>
  </si>
  <si>
    <t>Total Ag</t>
  </si>
  <si>
    <t>Total OO</t>
  </si>
  <si>
    <t>Total Other</t>
  </si>
  <si>
    <t>2nd Half Local Effort</t>
  </si>
  <si>
    <t>Total Estimated Local Effort - Property Taxes</t>
  </si>
  <si>
    <t>Rapid City 51-4</t>
  </si>
  <si>
    <t>Description</t>
  </si>
  <si>
    <t>Difference</t>
  </si>
  <si>
    <t>Step 1</t>
  </si>
  <si>
    <t>State Aid Fall Enrollment Count</t>
  </si>
  <si>
    <t>Target Teacher Ratio</t>
  </si>
  <si>
    <t>ELL Student Count</t>
  </si>
  <si>
    <t>ELL Adjustment Number of Teachers</t>
  </si>
  <si>
    <t>Target Teacher Salary</t>
  </si>
  <si>
    <t>Increased by Benefit Rate</t>
  </si>
  <si>
    <t>Total Teacher Compensation</t>
  </si>
  <si>
    <t>Step 2</t>
  </si>
  <si>
    <t>Overhead Rate</t>
  </si>
  <si>
    <t>Overhead Need</t>
  </si>
  <si>
    <t>Step 3</t>
  </si>
  <si>
    <t>Step 4</t>
  </si>
  <si>
    <t>Less: Local Effort</t>
  </si>
  <si>
    <t>Local Effort - Property Taxes (-)</t>
  </si>
  <si>
    <t>references in SDCL 13-13-10.1</t>
  </si>
  <si>
    <t>District No.</t>
  </si>
  <si>
    <t>District</t>
  </si>
  <si>
    <t>Need A</t>
  </si>
  <si>
    <t>LEP Adj
Need B</t>
  </si>
  <si>
    <t>Sum Need 
A &amp; B</t>
  </si>
  <si>
    <t>Target Teacher Compensation
Sal &amp; Ben</t>
  </si>
  <si>
    <t>Teacher Compensation Need</t>
  </si>
  <si>
    <t>Overhead</t>
  </si>
  <si>
    <t>Calculated Formula Need</t>
  </si>
  <si>
    <t>Alternative Need</t>
  </si>
  <si>
    <t>State Aid Need</t>
  </si>
  <si>
    <t>Bridgewater -Emery 30-3</t>
  </si>
  <si>
    <t>Britton - Hecla 45-4</t>
  </si>
  <si>
    <t>L-D Career &amp; Tech Ed.</t>
  </si>
  <si>
    <t>=State Aid Fall Enrollment/Target Teacher Ratio</t>
  </si>
  <si>
    <t>Formula Number of Certified Teachers</t>
  </si>
  <si>
    <t>Total Formula Number of Teachers</t>
  </si>
  <si>
    <t>Calculate Total Teacher Compensation</t>
  </si>
  <si>
    <t>=Total Teacher Compensation * Overhead Rate</t>
  </si>
  <si>
    <t>= Total Teacher Compensation + Overhead Need</t>
  </si>
  <si>
    <t>LEP Formula Teachers</t>
  </si>
  <si>
    <t>TOTAL DISTRICT NEED</t>
  </si>
  <si>
    <t>TOTAL STATE AID</t>
  </si>
  <si>
    <t>= Target Teacher Salary * Benefit Rate of 29%</t>
  </si>
  <si>
    <t>**Levies do not include additional opt-out levy, if applicable</t>
  </si>
  <si>
    <t>Target Teacher Compensation</t>
  </si>
  <si>
    <t xml:space="preserve"> 2020 State Aid Fall Enrollment</t>
  </si>
  <si>
    <t>District Number</t>
  </si>
  <si>
    <t>Mobile Home Owner Occupied</t>
  </si>
  <si>
    <t xml:space="preserve">Other </t>
  </si>
  <si>
    <t xml:space="preserve">Utility </t>
  </si>
  <si>
    <t>FAULKTON AREA SCHOOLS</t>
  </si>
  <si>
    <t>=Base Formula # of Teachers + ELL Adjustment # of Teachers</t>
  </si>
  <si>
    <t>=Total Formula # of Teachers * Target Teacher Compensation</t>
  </si>
  <si>
    <t>Count of Students Residing in Residential Treatment Facility</t>
  </si>
  <si>
    <t>2021 State Aid Fall Enrollment</t>
  </si>
  <si>
    <t>CORSICA-STICKNEY</t>
  </si>
  <si>
    <t>TRIPP-DELMONT</t>
  </si>
  <si>
    <t>COLMAN-EGAN</t>
  </si>
  <si>
    <t>ALCESTER-HUDSON</t>
  </si>
  <si>
    <t>OGLALA LAKOTA</t>
  </si>
  <si>
    <t>TOTAL LOCAL EFFORT Property Taxes
1st &amp; 2nd Half</t>
  </si>
  <si>
    <t>GENERAL STATE AID BUDGET COMPARISON</t>
  </si>
  <si>
    <t>Local Effort - Other Revenue</t>
  </si>
  <si>
    <r>
      <t xml:space="preserve">TOTAL GENERAL STATE AID NEED </t>
    </r>
    <r>
      <rPr>
        <b/>
        <sz val="12"/>
        <color theme="1"/>
        <rFont val="Calibri"/>
        <family val="2"/>
        <scheme val="minor"/>
      </rPr>
      <t>(from row 33)</t>
    </r>
  </si>
  <si>
    <t xml:space="preserve"> 2022 State Aid Fall Enrollment</t>
  </si>
  <si>
    <t>Agricultural
 (Ag)</t>
  </si>
  <si>
    <t>Owner 
Occupied 
(OO)</t>
  </si>
  <si>
    <t>Mobile 
Home</t>
  </si>
  <si>
    <t>MOO 
TIF</t>
  </si>
  <si>
    <r>
      <t xml:space="preserve">Number of </t>
    </r>
    <r>
      <rPr>
        <b/>
        <u/>
        <sz val="10"/>
        <color theme="1"/>
        <rFont val="Calibri"/>
        <family val="2"/>
        <scheme val="minor"/>
      </rPr>
      <t>Eligible</t>
    </r>
    <r>
      <rPr>
        <sz val="10"/>
        <color theme="1"/>
        <rFont val="Calibri"/>
        <family val="2"/>
        <scheme val="minor"/>
      </rPr>
      <t xml:space="preserve"> Alternative Instruction Students in HS Activities</t>
    </r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</si>
  <si>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 Alternative Instruction Activity Weight</t>
    </r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</si>
  <si>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 Target Student/Certified Instructional Staff FTE Ratio</t>
    </r>
  </si>
  <si>
    <r>
      <t xml:space="preserve">Number of </t>
    </r>
    <r>
      <rPr>
        <b/>
        <u/>
        <sz val="10"/>
        <color theme="1"/>
        <rFont val="Calibri"/>
        <family val="2"/>
        <scheme val="minor"/>
      </rPr>
      <t>Eligible</t>
    </r>
    <r>
      <rPr>
        <sz val="10"/>
        <color theme="1"/>
        <rFont val="Calibri"/>
        <family val="2"/>
        <scheme val="minor"/>
      </rPr>
      <t xml:space="preserve"> LEP Students</t>
    </r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</si>
  <si>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 LEP Weight</t>
    </r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</si>
  <si>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 Target Certified Instructional Staff Benefits %</t>
    </r>
  </si>
  <si>
    <t>2a</t>
  </si>
  <si>
    <t>(4)</t>
  </si>
  <si>
    <t>(3)</t>
  </si>
  <si>
    <t>10a</t>
  </si>
  <si>
    <t>10b</t>
  </si>
  <si>
    <t>10c</t>
  </si>
  <si>
    <t>10d</t>
  </si>
  <si>
    <t>10e</t>
  </si>
  <si>
    <t>10f</t>
  </si>
  <si>
    <t>11 &amp; 12</t>
  </si>
  <si>
    <t>Utility 
Taxes 
1140</t>
  </si>
  <si>
    <t>Local Revenue 
in Lieu of Taxes 
1210</t>
  </si>
  <si>
    <t>County Apportionment 
2110</t>
  </si>
  <si>
    <t>County Revenue 
in Lieu of Taxes 
2200</t>
  </si>
  <si>
    <t>Renewable Facility Taxes 
(Wind)
3113</t>
  </si>
  <si>
    <t>Bank Franchise Taxes 
3114</t>
  </si>
  <si>
    <t>Oldham-Ramona-Rutland 39-6</t>
  </si>
  <si>
    <t>OLDHAM-RAMONA-RUTLAND</t>
  </si>
  <si>
    <t>Local Effort - Other Revenues</t>
  </si>
  <si>
    <t>Other Revenue Local Effort</t>
  </si>
  <si>
    <t>=Total Need minus Local Effort: Property Taxes &amp; Other Revenue</t>
  </si>
  <si>
    <t>2023 State Aid Fall Enrollment</t>
  </si>
  <si>
    <t>STATE TOTAL</t>
  </si>
  <si>
    <t>SAFE + Alt Inst Activity</t>
  </si>
  <si>
    <t>Actual EL Count</t>
  </si>
  <si>
    <t>FY2025</t>
  </si>
  <si>
    <t>as of 1/27/2025</t>
  </si>
  <si>
    <t>Colome 59-3</t>
  </si>
  <si>
    <t>State Aid Fall Enrollment Count (Fall 2025)</t>
  </si>
  <si>
    <t>2nd Half Local Effort Projection (1st Half Pay 2026)</t>
  </si>
  <si>
    <t>2024 Pay 2025 Valuation (as of 1/26/2026)</t>
  </si>
  <si>
    <t>Assumed Pay 2026 Valuation Growth %</t>
  </si>
  <si>
    <r>
      <rPr>
        <u/>
        <sz val="10"/>
        <color theme="1"/>
        <rFont val="Calibri"/>
        <family val="2"/>
        <scheme val="minor"/>
      </rPr>
      <t>Estimated</t>
    </r>
    <r>
      <rPr>
        <sz val="10"/>
        <color theme="1"/>
        <rFont val="Calibri"/>
        <family val="2"/>
        <scheme val="minor"/>
      </rPr>
      <t xml:space="preserve"> 2025 Pay 2026 Valuation*</t>
    </r>
  </si>
  <si>
    <t>Proposed 2025 Pay 2026 Levies**</t>
  </si>
  <si>
    <t>Estimated 2nd Half Local Effort - (1st Half Pay 2026)</t>
  </si>
  <si>
    <t>1st Half Local Effort - Property Taxes 2nd Half Pay 2025</t>
  </si>
  <si>
    <r>
      <rPr>
        <b/>
        <sz val="13"/>
        <color rgb="FFFF0000"/>
        <rFont val="Calibri"/>
        <family val="2"/>
        <scheme val="minor"/>
      </rPr>
      <t>Estimated</t>
    </r>
    <r>
      <rPr>
        <sz val="13"/>
        <color theme="1"/>
        <rFont val="Calibri"/>
        <family val="2"/>
        <scheme val="minor"/>
      </rPr>
      <t xml:space="preserve"> 2nd Half Local Effort - Property Taxes 1st Half Pay 2026</t>
    </r>
  </si>
  <si>
    <t>ESTIMATED FY2026 General State Aid</t>
  </si>
  <si>
    <t>FY2026</t>
  </si>
  <si>
    <t>2024 State Aid Fall Enrollment</t>
  </si>
  <si>
    <t>EL 2024-2025 &lt;4.0</t>
  </si>
  <si>
    <t>2024-2025 SDHSAA Alt Inst</t>
  </si>
  <si>
    <t>Fall 2024 State Aid Fall Enrollment</t>
  </si>
  <si>
    <t>2023-2024 Alterative Instruction Student Actviites Weighted Count</t>
  </si>
  <si>
    <t>2023-2024 
English Learner
 Eligible Student Weighted Count</t>
  </si>
  <si>
    <t>FY2025 General State Aid Need</t>
  </si>
  <si>
    <r>
      <t xml:space="preserve">FY2026 Other Revenue Local Effort </t>
    </r>
    <r>
      <rPr>
        <b/>
        <sz val="11"/>
        <rFont val="Calibri"/>
        <family val="2"/>
        <scheme val="minor"/>
      </rPr>
      <t>(based on FY24 Annual Financial Report)</t>
    </r>
  </si>
  <si>
    <t>as of 11/1/2024</t>
  </si>
  <si>
    <t>FY2024
Total Reported Other Revenues</t>
  </si>
  <si>
    <t>Other Revenue Local Effort 
 Exclusion</t>
  </si>
  <si>
    <t>FY2026
Total Local Effort from Other Revenue</t>
  </si>
  <si>
    <t>FY25 LOCAL EFFORT - OTH Revenue</t>
  </si>
  <si>
    <r>
      <t xml:space="preserve">Adjustment to Need 
</t>
    </r>
    <r>
      <rPr>
        <sz val="9"/>
        <rFont val="Calibri"/>
        <family val="2"/>
      </rPr>
      <t>(ARSD 24:17:03:07)</t>
    </r>
  </si>
  <si>
    <t>updated 7/23/24</t>
  </si>
  <si>
    <r>
      <rPr>
        <b/>
        <sz val="14"/>
        <color theme="1"/>
        <rFont val="Calibri"/>
        <family val="2"/>
        <scheme val="minor"/>
      </rPr>
      <t xml:space="preserve">FINAL </t>
    </r>
    <r>
      <rPr>
        <sz val="14"/>
        <color theme="1"/>
        <rFont val="Calibri"/>
        <family val="2"/>
        <scheme val="minor"/>
      </rPr>
      <t>Pay 2025 Valuations, by School District</t>
    </r>
  </si>
  <si>
    <t>as of 1/17/2025</t>
  </si>
  <si>
    <t>Sch Name</t>
  </si>
  <si>
    <t>Sch Dist</t>
  </si>
  <si>
    <t>Ag Val</t>
  </si>
  <si>
    <t>OO Val</t>
  </si>
  <si>
    <t>M Val</t>
  </si>
  <si>
    <t>MOO Val</t>
  </si>
  <si>
    <t>Oth Val</t>
  </si>
  <si>
    <t>Utility Val</t>
  </si>
  <si>
    <t>MOO TIF</t>
  </si>
  <si>
    <t>WOLSEY-WESSINGTON</t>
  </si>
  <si>
    <t>PLATTE-GEDDES</t>
  </si>
  <si>
    <t>IRENE-WAKONDA</t>
  </si>
  <si>
    <t>HIGHMORE-HARROLD</t>
  </si>
  <si>
    <t>MCCOOK CENTRAL</t>
  </si>
  <si>
    <t>SISSETON PUBLIC</t>
  </si>
  <si>
    <t>HITCHCOCK-TULARE</t>
  </si>
  <si>
    <t>AGAR-BLUNT-ONIDA</t>
  </si>
  <si>
    <t>COLOME</t>
  </si>
  <si>
    <t>VIBORG-HURLEY</t>
  </si>
  <si>
    <t>MOBRIDGE-POLLOCK</t>
  </si>
  <si>
    <t>as of 3/14/2025</t>
  </si>
  <si>
    <t>FY2026 General State Aid Budget Calculator</t>
  </si>
  <si>
    <t>Overhead Calculation</t>
  </si>
  <si>
    <t>Need based on Overhead Rate</t>
  </si>
  <si>
    <r>
      <t xml:space="preserve">Instructional Salary/Benefit Need </t>
    </r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 Overhead Rate</t>
    </r>
  </si>
  <si>
    <t>Alternative Instruction Participation Adjustment</t>
  </si>
  <si>
    <t>Weighted Alternative Instruction Participation Student Count</t>
  </si>
  <si>
    <r>
      <t xml:space="preserve">Need based on SDHSAA Participation   (Weighted count </t>
    </r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 PSE)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</si>
</sst>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General_)"/>
    <numFmt numFmtId="168" formatCode="&quot;$&quot;#,##0"/>
    <numFmt numFmtId="169" formatCode="&quot;$&quot;#,##0.00"/>
    <numFmt numFmtId="170" formatCode="_(&quot;$&quot;* #,##0.000_);_(&quot;$&quot;* \(#,##0.000\);_(&quot;$&quot;* &quot;-&quot;??_);_(@_)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Gill Sans MT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9"/>
      <color theme="1"/>
      <name val="Calibri"/>
      <family val="2"/>
      <scheme val="minor"/>
    </font>
    <font>
      <b/>
      <sz val="20"/>
      <color theme="5" tint="-0.249977111117893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4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sz val="10"/>
      <name val="Arial"/>
    </font>
    <font>
      <b/>
      <sz val="10"/>
      <name val="Calibri"/>
      <family val="2"/>
    </font>
    <font>
      <sz val="11"/>
      <name val="Calibri"/>
      <family val="2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7B784"/>
        <bgColor indexed="64"/>
      </patternFill>
    </fill>
    <fill>
      <patternFill patternType="solid">
        <fgColor rgb="FFC7B784"/>
        <bgColor theme="4" tint="0.7999511703848384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7C784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0691854609822"/>
      </right>
      <top style="medium">
        <color theme="0" tint="-0.14990691854609822"/>
      </top>
      <bottom style="thin">
        <color theme="0" tint="-0.1499679555650502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thin">
        <color theme="0" tint="-0.14996795556505021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thin">
        <color theme="0" tint="-0.149937437055574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thin">
        <color theme="0" tint="-0.14993743705557422"/>
      </top>
      <bottom style="medium">
        <color theme="0" tint="-0.14990691854609822"/>
      </bottom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theme="0" tint="-0.14993743705557422"/>
      </top>
      <bottom style="medium">
        <color theme="0" tint="-0.149906918546098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5" tint="-0.24994659260841701"/>
      </left>
      <right/>
      <top style="thick">
        <color theme="5" tint="-0.24994659260841701"/>
      </top>
      <bottom style="thin">
        <color auto="1"/>
      </bottom>
      <diagonal/>
    </border>
    <border>
      <left/>
      <right/>
      <top style="thick">
        <color theme="5" tint="-0.24994659260841701"/>
      </top>
      <bottom style="thin">
        <color auto="1"/>
      </bottom>
      <diagonal/>
    </border>
    <border>
      <left/>
      <right style="thick">
        <color theme="5" tint="-0.24994659260841701"/>
      </right>
      <top style="thick">
        <color theme="5" tint="-0.24994659260841701"/>
      </top>
      <bottom style="thin">
        <color auto="1"/>
      </bottom>
      <diagonal/>
    </border>
    <border>
      <left style="thick">
        <color theme="5" tint="-0.24994659260841701"/>
      </left>
      <right/>
      <top/>
      <bottom/>
      <diagonal/>
    </border>
    <border>
      <left/>
      <right style="thick">
        <color theme="5" tint="-0.24994659260841701"/>
      </right>
      <top/>
      <bottom/>
      <diagonal/>
    </border>
    <border>
      <left style="thick">
        <color theme="5" tint="-0.24994659260841701"/>
      </left>
      <right/>
      <top style="thin">
        <color auto="1"/>
      </top>
      <bottom style="thick">
        <color theme="5" tint="-0.24994659260841701"/>
      </bottom>
      <diagonal/>
    </border>
    <border>
      <left/>
      <right/>
      <top style="thin">
        <color auto="1"/>
      </top>
      <bottom style="thick">
        <color theme="5" tint="-0.24994659260841701"/>
      </bottom>
      <diagonal/>
    </border>
    <border>
      <left/>
      <right style="thick">
        <color theme="5" tint="-0.24994659260841701"/>
      </right>
      <top style="thin">
        <color auto="1"/>
      </top>
      <bottom style="thick">
        <color theme="5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theme="0" tint="-0.14990691854609822"/>
      </right>
      <top style="medium">
        <color theme="0" tint="-0.14990691854609822"/>
      </top>
      <bottom/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" fillId="0" borderId="0"/>
  </cellStyleXfs>
  <cellXfs count="301">
    <xf numFmtId="0" fontId="0" fillId="0" borderId="0" xfId="0"/>
    <xf numFmtId="0" fontId="7" fillId="10" borderId="21" xfId="19" applyFont="1" applyFill="1" applyBorder="1" applyAlignment="1">
      <alignment horizontal="center"/>
    </xf>
    <xf numFmtId="0" fontId="7" fillId="0" borderId="22" xfId="19" applyFont="1" applyBorder="1" applyAlignment="1">
      <alignment horizontal="right"/>
    </xf>
    <xf numFmtId="0" fontId="7" fillId="0" borderId="22" xfId="19" applyFont="1" applyBorder="1"/>
    <xf numFmtId="0" fontId="7" fillId="0" borderId="30" xfId="19" applyFont="1" applyBorder="1" applyAlignment="1">
      <alignment horizontal="right"/>
    </xf>
    <xf numFmtId="0" fontId="7" fillId="0" borderId="30" xfId="19" applyFont="1" applyBorder="1"/>
    <xf numFmtId="0" fontId="9" fillId="0" borderId="0" xfId="0" applyFont="1"/>
    <xf numFmtId="0" fontId="11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Protection="1">
      <protection locked="0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165" fontId="9" fillId="0" borderId="0" xfId="2" applyNumberFormat="1" applyFont="1" applyFill="1" applyBorder="1" applyAlignment="1" applyProtection="1">
      <alignment vertical="center"/>
      <protection locked="0"/>
    </xf>
    <xf numFmtId="164" fontId="9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44" fontId="0" fillId="0" borderId="45" xfId="2" applyFont="1" applyFill="1" applyBorder="1" applyProtection="1">
      <protection locked="0"/>
    </xf>
    <xf numFmtId="44" fontId="9" fillId="0" borderId="0" xfId="2" applyFont="1" applyProtection="1">
      <protection locked="0"/>
    </xf>
    <xf numFmtId="9" fontId="0" fillId="0" borderId="3" xfId="1" applyNumberFormat="1" applyFont="1" applyFill="1" applyBorder="1" applyProtection="1"/>
    <xf numFmtId="43" fontId="0" fillId="0" borderId="3" xfId="1" applyFont="1" applyBorder="1" applyProtection="1"/>
    <xf numFmtId="43" fontId="0" fillId="0" borderId="5" xfId="1" applyNumberFormat="1" applyFont="1" applyFill="1" applyBorder="1" applyProtection="1"/>
    <xf numFmtId="43" fontId="0" fillId="0" borderId="5" xfId="1" applyNumberFormat="1" applyFont="1" applyBorder="1" applyProtection="1"/>
    <xf numFmtId="43" fontId="0" fillId="0" borderId="0" xfId="1" applyNumberFormat="1" applyFont="1" applyBorder="1" applyProtection="1">
      <protection locked="0"/>
    </xf>
    <xf numFmtId="165" fontId="0" fillId="0" borderId="45" xfId="2" applyNumberFormat="1" applyFont="1" applyFill="1" applyBorder="1" applyProtection="1">
      <protection locked="0"/>
    </xf>
    <xf numFmtId="165" fontId="9" fillId="0" borderId="0" xfId="2" applyNumberFormat="1" applyFont="1" applyProtection="1">
      <protection locked="0"/>
    </xf>
    <xf numFmtId="9" fontId="0" fillId="0" borderId="5" xfId="3" applyFont="1" applyFill="1" applyBorder="1" applyProtection="1"/>
    <xf numFmtId="43" fontId="9" fillId="0" borderId="0" xfId="0" applyNumberFormat="1" applyFont="1" applyProtection="1">
      <protection locked="0"/>
    </xf>
    <xf numFmtId="44" fontId="0" fillId="0" borderId="0" xfId="2" applyFont="1" applyProtection="1">
      <protection locked="0"/>
    </xf>
    <xf numFmtId="43" fontId="13" fillId="0" borderId="7" xfId="1" applyFont="1" applyBorder="1" applyProtection="1"/>
    <xf numFmtId="44" fontId="10" fillId="0" borderId="7" xfId="2" applyFont="1" applyBorder="1" applyProtection="1">
      <protection locked="0"/>
    </xf>
    <xf numFmtId="44" fontId="0" fillId="0" borderId="3" xfId="2" applyNumberFormat="1" applyFont="1" applyFill="1" applyBorder="1" applyProtection="1"/>
    <xf numFmtId="44" fontId="9" fillId="0" borderId="0" xfId="0" applyNumberFormat="1" applyFont="1" applyProtection="1">
      <protection locked="0"/>
    </xf>
    <xf numFmtId="9" fontId="0" fillId="0" borderId="5" xfId="2" applyNumberFormat="1" applyFont="1" applyFill="1" applyBorder="1" applyProtection="1"/>
    <xf numFmtId="44" fontId="0" fillId="0" borderId="3" xfId="2" applyNumberFormat="1" applyFont="1" applyBorder="1" applyProtection="1"/>
    <xf numFmtId="0" fontId="14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165" fontId="14" fillId="0" borderId="0" xfId="2" applyNumberFormat="1" applyFont="1" applyFill="1" applyBorder="1" applyProtection="1"/>
    <xf numFmtId="10" fontId="0" fillId="0" borderId="3" xfId="2" applyNumberFormat="1" applyFont="1" applyFill="1" applyBorder="1" applyProtection="1"/>
    <xf numFmtId="0" fontId="13" fillId="0" borderId="0" xfId="0" applyFont="1" applyFill="1" applyBorder="1" applyProtection="1">
      <protection locked="0"/>
    </xf>
    <xf numFmtId="166" fontId="13" fillId="0" borderId="0" xfId="3" applyNumberFormat="1" applyFont="1" applyFill="1" applyBorder="1" applyAlignment="1" applyProtection="1">
      <alignment horizontal="center"/>
      <protection locked="0"/>
    </xf>
    <xf numFmtId="166" fontId="14" fillId="0" borderId="0" xfId="3" applyNumberFormat="1" applyFont="1" applyFill="1" applyBorder="1" applyAlignment="1" applyProtection="1">
      <alignment horizontal="center"/>
      <protection locked="0"/>
    </xf>
    <xf numFmtId="44" fontId="0" fillId="0" borderId="0" xfId="0" applyNumberFormat="1" applyFont="1" applyBorder="1" applyProtection="1">
      <protection locked="0"/>
    </xf>
    <xf numFmtId="170" fontId="14" fillId="0" borderId="0" xfId="2" applyNumberFormat="1" applyFont="1" applyFill="1" applyBorder="1" applyProtection="1"/>
    <xf numFmtId="165" fontId="13" fillId="0" borderId="0" xfId="2" applyNumberFormat="1" applyFont="1" applyFill="1" applyBorder="1" applyProtection="1"/>
    <xf numFmtId="0" fontId="14" fillId="0" borderId="36" xfId="0" applyFont="1" applyBorder="1" applyAlignment="1" applyProtection="1">
      <alignment horizontal="center"/>
    </xf>
    <xf numFmtId="0" fontId="9" fillId="0" borderId="37" xfId="0" applyFont="1" applyFill="1" applyBorder="1" applyProtection="1">
      <protection locked="0"/>
    </xf>
    <xf numFmtId="0" fontId="17" fillId="0" borderId="38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13" fillId="0" borderId="39" xfId="0" applyFont="1" applyBorder="1" applyAlignment="1" applyProtection="1">
      <alignment horizontal="center"/>
    </xf>
    <xf numFmtId="165" fontId="0" fillId="0" borderId="0" xfId="2" applyNumberFormat="1" applyFont="1" applyFill="1" applyBorder="1" applyProtection="1"/>
    <xf numFmtId="165" fontId="0" fillId="0" borderId="39" xfId="2" applyNumberFormat="1" applyFont="1" applyFill="1" applyBorder="1" applyProtection="1"/>
    <xf numFmtId="0" fontId="9" fillId="0" borderId="39" xfId="0" applyFont="1" applyFill="1" applyBorder="1" applyProtection="1">
      <protection locked="0"/>
    </xf>
    <xf numFmtId="165" fontId="0" fillId="0" borderId="0" xfId="2" applyNumberFormat="1" applyFont="1" applyBorder="1" applyProtection="1"/>
    <xf numFmtId="165" fontId="0" fillId="0" borderId="39" xfId="2" applyNumberFormat="1" applyFont="1" applyBorder="1" applyProtection="1"/>
    <xf numFmtId="170" fontId="0" fillId="0" borderId="0" xfId="2" applyNumberFormat="1" applyFont="1" applyFill="1" applyBorder="1" applyProtection="1"/>
    <xf numFmtId="0" fontId="0" fillId="0" borderId="39" xfId="0" applyFont="1" applyFill="1" applyBorder="1" applyProtection="1">
      <protection locked="0"/>
    </xf>
    <xf numFmtId="165" fontId="0" fillId="0" borderId="41" xfId="2" applyNumberFormat="1" applyFont="1" applyBorder="1" applyProtection="1"/>
    <xf numFmtId="165" fontId="13" fillId="0" borderId="42" xfId="2" applyNumberFormat="1" applyFont="1" applyFill="1" applyBorder="1" applyProtection="1"/>
    <xf numFmtId="0" fontId="17" fillId="0" borderId="0" xfId="0" applyFont="1" applyBorder="1" applyAlignment="1" applyProtection="1">
      <alignment horizontal="center"/>
    </xf>
    <xf numFmtId="44" fontId="12" fillId="0" borderId="0" xfId="2" applyFont="1" applyProtection="1">
      <protection locked="0"/>
    </xf>
    <xf numFmtId="0" fontId="19" fillId="0" borderId="19" xfId="0" applyFont="1" applyFill="1" applyBorder="1" applyAlignment="1" applyProtection="1">
      <alignment horizontal="right" vertical="center"/>
    </xf>
    <xf numFmtId="0" fontId="20" fillId="0" borderId="23" xfId="0" applyFont="1" applyFill="1" applyBorder="1" applyAlignment="1" applyProtection="1">
      <alignment horizontal="left"/>
    </xf>
    <xf numFmtId="0" fontId="20" fillId="0" borderId="25" xfId="0" applyFont="1" applyFill="1" applyBorder="1" applyAlignment="1" applyProtection="1">
      <alignment horizontal="left"/>
    </xf>
    <xf numFmtId="0" fontId="23" fillId="0" borderId="0" xfId="0" applyFont="1" applyProtection="1">
      <protection locked="0"/>
    </xf>
    <xf numFmtId="0" fontId="24" fillId="0" borderId="0" xfId="0" applyFont="1" applyFill="1" applyBorder="1" applyAlignment="1" applyProtection="1">
      <alignment horizontal="center" vertical="center"/>
    </xf>
    <xf numFmtId="42" fontId="9" fillId="11" borderId="11" xfId="32" applyNumberFormat="1" applyFont="1" applyFill="1" applyBorder="1" applyAlignment="1">
      <alignment horizontal="center" wrapText="1"/>
    </xf>
    <xf numFmtId="0" fontId="10" fillId="0" borderId="6" xfId="0" applyFont="1" applyFill="1" applyBorder="1" applyAlignment="1" applyProtection="1">
      <alignment horizontal="left"/>
    </xf>
    <xf numFmtId="0" fontId="9" fillId="0" borderId="2" xfId="0" applyFont="1" applyBorder="1" applyProtection="1"/>
    <xf numFmtId="0" fontId="9" fillId="0" borderId="2" xfId="0" applyFont="1" applyBorder="1"/>
    <xf numFmtId="0" fontId="9" fillId="0" borderId="4" xfId="0" applyFont="1" applyBorder="1" applyProtection="1"/>
    <xf numFmtId="0" fontId="10" fillId="0" borderId="6" xfId="0" applyFont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 vertical="center"/>
    </xf>
    <xf numFmtId="0" fontId="29" fillId="0" borderId="29" xfId="0" applyFont="1" applyFill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left"/>
    </xf>
    <xf numFmtId="0" fontId="9" fillId="0" borderId="38" xfId="0" applyFont="1" applyBorder="1" applyProtection="1"/>
    <xf numFmtId="0" fontId="12" fillId="0" borderId="38" xfId="0" applyFont="1" applyBorder="1" applyProtection="1">
      <protection locked="0"/>
    </xf>
    <xf numFmtId="0" fontId="10" fillId="0" borderId="40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0" fontId="9" fillId="0" borderId="0" xfId="0" applyFont="1" applyFill="1" applyBorder="1" applyProtection="1"/>
    <xf numFmtId="0" fontId="32" fillId="0" borderId="0" xfId="9" applyFont="1" applyAlignment="1">
      <alignment horizontal="left"/>
    </xf>
    <xf numFmtId="0" fontId="27" fillId="0" borderId="0" xfId="9" applyFont="1" applyAlignment="1">
      <alignment horizontal="left"/>
    </xf>
    <xf numFmtId="0" fontId="27" fillId="0" borderId="0" xfId="9" applyFont="1"/>
    <xf numFmtId="2" fontId="27" fillId="0" borderId="0" xfId="9" applyNumberFormat="1" applyFont="1"/>
    <xf numFmtId="168" fontId="27" fillId="0" borderId="0" xfId="9" applyNumberFormat="1" applyFont="1"/>
    <xf numFmtId="0" fontId="33" fillId="0" borderId="0" xfId="9" applyFont="1" applyAlignment="1">
      <alignment horizontal="left"/>
    </xf>
    <xf numFmtId="0" fontId="33" fillId="0" borderId="0" xfId="9" applyFont="1" applyAlignment="1">
      <alignment horizontal="center"/>
    </xf>
    <xf numFmtId="2" fontId="33" fillId="0" borderId="0" xfId="9" quotePrefix="1" applyNumberFormat="1" applyFont="1" applyAlignment="1">
      <alignment horizontal="center"/>
    </xf>
    <xf numFmtId="0" fontId="33" fillId="0" borderId="0" xfId="9" quotePrefix="1" applyFont="1" applyAlignment="1">
      <alignment horizontal="center"/>
    </xf>
    <xf numFmtId="168" fontId="33" fillId="0" borderId="0" xfId="9" applyNumberFormat="1" applyFont="1" applyAlignment="1">
      <alignment horizontal="center"/>
    </xf>
    <xf numFmtId="0" fontId="27" fillId="0" borderId="0" xfId="9" applyFont="1" applyAlignment="1">
      <alignment horizontal="center"/>
    </xf>
    <xf numFmtId="168" fontId="27" fillId="11" borderId="10" xfId="9" applyNumberFormat="1" applyFont="1" applyFill="1" applyBorder="1" applyAlignment="1">
      <alignment horizontal="center" wrapText="1"/>
    </xf>
    <xf numFmtId="0" fontId="27" fillId="0" borderId="46" xfId="9" applyFont="1" applyBorder="1" applyAlignment="1">
      <alignment horizontal="left"/>
    </xf>
    <xf numFmtId="0" fontId="27" fillId="0" borderId="46" xfId="9" applyFont="1" applyBorder="1" applyAlignment="1">
      <alignment horizontal="right"/>
    </xf>
    <xf numFmtId="4" fontId="27" fillId="0" borderId="46" xfId="9" applyNumberFormat="1" applyFont="1" applyBorder="1"/>
    <xf numFmtId="2" fontId="27" fillId="0" borderId="46" xfId="9" applyNumberFormat="1" applyFont="1" applyBorder="1"/>
    <xf numFmtId="168" fontId="27" fillId="0" borderId="46" xfId="9" applyNumberFormat="1" applyFont="1" applyBorder="1"/>
    <xf numFmtId="0" fontId="27" fillId="0" borderId="32" xfId="9" applyFont="1" applyBorder="1" applyAlignment="1">
      <alignment horizontal="left"/>
    </xf>
    <xf numFmtId="0" fontId="27" fillId="0" borderId="32" xfId="9" applyFont="1" applyBorder="1" applyAlignment="1">
      <alignment horizontal="right"/>
    </xf>
    <xf numFmtId="4" fontId="27" fillId="0" borderId="32" xfId="9" applyNumberFormat="1" applyFont="1" applyBorder="1"/>
    <xf numFmtId="2" fontId="27" fillId="0" borderId="32" xfId="9" applyNumberFormat="1" applyFont="1" applyBorder="1"/>
    <xf numFmtId="168" fontId="27" fillId="0" borderId="32" xfId="9" applyNumberFormat="1" applyFont="1" applyBorder="1"/>
    <xf numFmtId="3" fontId="27" fillId="0" borderId="32" xfId="9" applyNumberFormat="1" applyFont="1" applyBorder="1" applyAlignment="1">
      <alignment horizontal="left"/>
    </xf>
    <xf numFmtId="0" fontId="27" fillId="0" borderId="32" xfId="9" applyFont="1" applyBorder="1"/>
    <xf numFmtId="3" fontId="27" fillId="0" borderId="0" xfId="9" applyNumberFormat="1" applyFont="1" applyAlignment="1">
      <alignment horizontal="left"/>
    </xf>
    <xf numFmtId="4" fontId="27" fillId="0" borderId="0" xfId="9" applyNumberFormat="1" applyFont="1"/>
    <xf numFmtId="3" fontId="27" fillId="0" borderId="33" xfId="9" applyNumberFormat="1" applyFont="1" applyBorder="1" applyAlignment="1">
      <alignment horizontal="left" wrapText="1"/>
    </xf>
    <xf numFmtId="4" fontId="27" fillId="0" borderId="33" xfId="9" applyNumberFormat="1" applyFont="1" applyBorder="1"/>
    <xf numFmtId="2" fontId="27" fillId="0" borderId="33" xfId="9" applyNumberFormat="1" applyFont="1" applyBorder="1"/>
    <xf numFmtId="169" fontId="27" fillId="0" borderId="33" xfId="9" applyNumberFormat="1" applyFont="1" applyBorder="1"/>
    <xf numFmtId="168" fontId="27" fillId="0" borderId="33" xfId="9" applyNumberFormat="1" applyFont="1" applyBorder="1"/>
    <xf numFmtId="0" fontId="27" fillId="0" borderId="0" xfId="9" applyFont="1" applyAlignment="1">
      <alignment wrapText="1"/>
    </xf>
    <xf numFmtId="0" fontId="16" fillId="0" borderId="0" xfId="0" applyFont="1" applyAlignment="1">
      <alignment horizontal="left" vertical="center"/>
    </xf>
    <xf numFmtId="0" fontId="35" fillId="0" borderId="0" xfId="0" applyFont="1" applyProtection="1">
      <protection locked="0"/>
    </xf>
    <xf numFmtId="0" fontId="16" fillId="0" borderId="0" xfId="0" applyFont="1"/>
    <xf numFmtId="0" fontId="0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ont="1" applyAlignment="1" applyProtection="1">
      <alignment horizontal="centerContinuous"/>
      <protection locked="0"/>
    </xf>
    <xf numFmtId="0" fontId="0" fillId="0" borderId="0" xfId="0" applyFont="1" applyProtection="1">
      <protection locked="0"/>
    </xf>
    <xf numFmtId="43" fontId="9" fillId="0" borderId="0" xfId="1" applyNumberFormat="1" applyFont="1" applyFill="1"/>
    <xf numFmtId="43" fontId="9" fillId="0" borderId="0" xfId="1" applyFont="1" applyFill="1"/>
    <xf numFmtId="0" fontId="9" fillId="0" borderId="0" xfId="0" applyFont="1" applyBorder="1"/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Fill="1"/>
    <xf numFmtId="43" fontId="9" fillId="0" borderId="0" xfId="1" applyFont="1" applyFill="1" applyBorder="1"/>
    <xf numFmtId="9" fontId="9" fillId="0" borderId="0" xfId="0" applyNumberFormat="1" applyFont="1" applyFill="1"/>
    <xf numFmtId="0" fontId="9" fillId="0" borderId="0" xfId="0" applyFont="1" applyFill="1"/>
    <xf numFmtId="10" fontId="9" fillId="0" borderId="0" xfId="0" applyNumberFormat="1" applyFont="1" applyFill="1"/>
    <xf numFmtId="164" fontId="9" fillId="0" borderId="0" xfId="1" applyNumberFormat="1" applyFont="1" applyFill="1"/>
    <xf numFmtId="0" fontId="28" fillId="0" borderId="0" xfId="0" applyFont="1" applyAlignment="1" applyProtection="1">
      <alignment horizontal="right" wrapText="1"/>
      <protection locked="0"/>
    </xf>
    <xf numFmtId="0" fontId="28" fillId="0" borderId="31" xfId="0" applyFont="1" applyFill="1" applyBorder="1" applyAlignment="1">
      <alignment horizontal="left" wrapText="1"/>
    </xf>
    <xf numFmtId="0" fontId="28" fillId="0" borderId="31" xfId="0" quotePrefix="1" applyFont="1" applyFill="1" applyBorder="1" applyAlignment="1">
      <alignment horizontal="left" wrapText="1"/>
    </xf>
    <xf numFmtId="0" fontId="9" fillId="0" borderId="34" xfId="0" applyFont="1" applyFill="1" applyBorder="1" applyProtection="1">
      <protection locked="0"/>
    </xf>
    <xf numFmtId="0" fontId="0" fillId="0" borderId="34" xfId="0" applyFont="1" applyFill="1" applyBorder="1" applyAlignment="1" applyProtection="1">
      <alignment horizontal="left"/>
      <protection locked="0"/>
    </xf>
    <xf numFmtId="0" fontId="9" fillId="0" borderId="0" xfId="0" applyFont="1" applyFill="1" applyAlignment="1">
      <alignment horizontal="left" wrapText="1"/>
    </xf>
    <xf numFmtId="0" fontId="0" fillId="0" borderId="0" xfId="0" applyFont="1" applyFill="1" applyProtection="1">
      <protection locked="0"/>
    </xf>
    <xf numFmtId="0" fontId="0" fillId="0" borderId="34" xfId="0" applyFont="1" applyFill="1" applyBorder="1" applyProtection="1">
      <protection locked="0"/>
    </xf>
    <xf numFmtId="164" fontId="0" fillId="0" borderId="0" xfId="1" applyNumberFormat="1" applyFont="1"/>
    <xf numFmtId="0" fontId="20" fillId="0" borderId="20" xfId="0" applyFont="1" applyFill="1" applyBorder="1" applyAlignment="1" applyProtection="1">
      <alignment horizontal="left"/>
    </xf>
    <xf numFmtId="0" fontId="31" fillId="0" borderId="10" xfId="0" applyFont="1" applyFill="1" applyBorder="1" applyAlignment="1" applyProtection="1">
      <alignment horizontal="left"/>
    </xf>
    <xf numFmtId="0" fontId="7" fillId="0" borderId="47" xfId="19" applyFont="1" applyBorder="1" applyAlignment="1">
      <alignment horizontal="right"/>
    </xf>
    <xf numFmtId="0" fontId="0" fillId="0" borderId="8" xfId="0" applyFont="1" applyFill="1" applyBorder="1" applyAlignment="1" applyProtection="1">
      <alignment horizontal="left"/>
    </xf>
    <xf numFmtId="165" fontId="0" fillId="0" borderId="9" xfId="2" applyNumberFormat="1" applyFont="1" applyFill="1" applyBorder="1" applyProtection="1"/>
    <xf numFmtId="165" fontId="20" fillId="0" borderId="24" xfId="2" applyNumberFormat="1" applyFont="1" applyFill="1" applyBorder="1" applyProtection="1"/>
    <xf numFmtId="165" fontId="20" fillId="0" borderId="26" xfId="2" applyNumberFormat="1" applyFont="1" applyFill="1" applyBorder="1" applyProtection="1"/>
    <xf numFmtId="165" fontId="20" fillId="0" borderId="5" xfId="2" applyNumberFormat="1" applyFont="1" applyFill="1" applyBorder="1" applyProtection="1"/>
    <xf numFmtId="165" fontId="31" fillId="0" borderId="7" xfId="2" applyNumberFormat="1" applyFont="1" applyFill="1" applyBorder="1" applyProtection="1"/>
    <xf numFmtId="0" fontId="14" fillId="0" borderId="0" xfId="0" applyFont="1" applyAlignment="1">
      <alignment horizontal="center"/>
    </xf>
    <xf numFmtId="0" fontId="14" fillId="0" borderId="0" xfId="0" applyFont="1" applyFill="1" applyAlignment="1">
      <alignment horizontal="centerContinuous" wrapText="1"/>
    </xf>
    <xf numFmtId="0" fontId="25" fillId="11" borderId="0" xfId="0" applyFont="1" applyFill="1"/>
    <xf numFmtId="0" fontId="25" fillId="11" borderId="0" xfId="0" applyFont="1" applyFill="1" applyAlignment="1">
      <alignment horizontal="right"/>
    </xf>
    <xf numFmtId="43" fontId="10" fillId="13" borderId="31" xfId="1" applyFont="1" applyFill="1" applyBorder="1"/>
    <xf numFmtId="0" fontId="0" fillId="13" borderId="0" xfId="0" applyFont="1" applyFill="1"/>
    <xf numFmtId="0" fontId="9" fillId="13" borderId="0" xfId="0" applyFont="1" applyFill="1"/>
    <xf numFmtId="164" fontId="10" fillId="13" borderId="31" xfId="1" applyNumberFormat="1" applyFont="1" applyFill="1" applyBorder="1"/>
    <xf numFmtId="0" fontId="14" fillId="0" borderId="0" xfId="0" applyFont="1" applyFill="1" applyAlignment="1">
      <alignment horizontal="center"/>
    </xf>
    <xf numFmtId="0" fontId="10" fillId="0" borderId="31" xfId="0" applyFont="1" applyFill="1" applyBorder="1"/>
    <xf numFmtId="43" fontId="10" fillId="0" borderId="31" xfId="1" applyFont="1" applyFill="1" applyBorder="1"/>
    <xf numFmtId="0" fontId="0" fillId="0" borderId="31" xfId="0" applyFont="1" applyFill="1" applyBorder="1"/>
    <xf numFmtId="164" fontId="10" fillId="0" borderId="31" xfId="1" applyNumberFormat="1" applyFont="1" applyFill="1" applyBorder="1"/>
    <xf numFmtId="0" fontId="0" fillId="11" borderId="0" xfId="0" applyFont="1" applyFill="1" applyProtection="1">
      <protection locked="0"/>
    </xf>
    <xf numFmtId="0" fontId="28" fillId="0" borderId="31" xfId="0" quotePrefix="1" applyFont="1" applyFill="1" applyBorder="1" applyAlignment="1">
      <alignment horizontal="left"/>
    </xf>
    <xf numFmtId="0" fontId="38" fillId="0" borderId="0" xfId="0" applyFont="1" applyAlignment="1">
      <alignment horizontal="centerContinuous"/>
    </xf>
    <xf numFmtId="0" fontId="38" fillId="0" borderId="0" xfId="0" applyFont="1" applyProtection="1">
      <protection locked="0"/>
    </xf>
    <xf numFmtId="0" fontId="39" fillId="0" borderId="0" xfId="0" applyFont="1" applyAlignment="1">
      <alignment horizontal="centerContinuous"/>
    </xf>
    <xf numFmtId="0" fontId="38" fillId="0" borderId="0" xfId="0" applyFont="1" applyAlignment="1">
      <alignment horizontal="centerContinuous" wrapText="1"/>
    </xf>
    <xf numFmtId="0" fontId="38" fillId="0" borderId="0" xfId="0" applyFont="1"/>
    <xf numFmtId="0" fontId="38" fillId="0" borderId="0" xfId="0" applyFont="1" applyAlignment="1">
      <alignment horizontal="right" wrapText="1"/>
    </xf>
    <xf numFmtId="0" fontId="40" fillId="11" borderId="0" xfId="0" applyFont="1" applyFill="1"/>
    <xf numFmtId="0" fontId="13" fillId="0" borderId="31" xfId="0" applyFont="1" applyFill="1" applyBorder="1"/>
    <xf numFmtId="0" fontId="0" fillId="0" borderId="31" xfId="0" applyFont="1" applyBorder="1"/>
    <xf numFmtId="43" fontId="1" fillId="0" borderId="0" xfId="1" applyNumberFormat="1" applyFont="1"/>
    <xf numFmtId="43" fontId="1" fillId="13" borderId="0" xfId="1" applyNumberFormat="1" applyFont="1" applyFill="1"/>
    <xf numFmtId="43" fontId="1" fillId="0" borderId="0" xfId="1" applyFont="1"/>
    <xf numFmtId="43" fontId="1" fillId="13" borderId="0" xfId="1" applyFont="1" applyFill="1"/>
    <xf numFmtId="43" fontId="1" fillId="0" borderId="31" xfId="1" applyFont="1" applyBorder="1"/>
    <xf numFmtId="43" fontId="1" fillId="13" borderId="31" xfId="1" applyFont="1" applyFill="1" applyBorder="1"/>
    <xf numFmtId="0" fontId="0" fillId="0" borderId="0" xfId="0" applyFont="1" applyBorder="1"/>
    <xf numFmtId="43" fontId="1" fillId="0" borderId="0" xfId="1" applyFont="1" applyBorder="1"/>
    <xf numFmtId="43" fontId="1" fillId="13" borderId="0" xfId="1" applyFont="1" applyFill="1" applyBorder="1"/>
    <xf numFmtId="9" fontId="1" fillId="0" borderId="0" xfId="0" applyNumberFormat="1" applyFont="1"/>
    <xf numFmtId="9" fontId="1" fillId="13" borderId="0" xfId="0" applyNumberFormat="1" applyFont="1" applyFill="1"/>
    <xf numFmtId="43" fontId="1" fillId="0" borderId="31" xfId="1" applyFont="1" applyFill="1" applyBorder="1"/>
    <xf numFmtId="0" fontId="1" fillId="0" borderId="0" xfId="0" applyFont="1"/>
    <xf numFmtId="0" fontId="1" fillId="13" borderId="0" xfId="0" applyFont="1" applyFill="1"/>
    <xf numFmtId="0" fontId="0" fillId="0" borderId="1" xfId="0" applyFont="1" applyBorder="1"/>
    <xf numFmtId="10" fontId="0" fillId="0" borderId="0" xfId="0" applyNumberFormat="1" applyFont="1"/>
    <xf numFmtId="10" fontId="0" fillId="13" borderId="0" xfId="0" applyNumberFormat="1" applyFont="1" applyFill="1"/>
    <xf numFmtId="0" fontId="14" fillId="0" borderId="31" xfId="0" applyFont="1" applyFill="1" applyBorder="1"/>
    <xf numFmtId="164" fontId="13" fillId="0" borderId="31" xfId="1" applyNumberFormat="1" applyFont="1" applyFill="1" applyBorder="1"/>
    <xf numFmtId="164" fontId="13" fillId="13" borderId="31" xfId="1" applyNumberFormat="1" applyFont="1" applyFill="1" applyBorder="1"/>
    <xf numFmtId="164" fontId="14" fillId="13" borderId="31" xfId="0" applyNumberFormat="1" applyFont="1" applyFill="1" applyBorder="1"/>
    <xf numFmtId="164" fontId="0" fillId="13" borderId="0" xfId="1" applyNumberFormat="1" applyFont="1" applyFill="1"/>
    <xf numFmtId="164" fontId="14" fillId="0" borderId="31" xfId="0" applyNumberFormat="1" applyFont="1" applyFill="1" applyBorder="1"/>
    <xf numFmtId="0" fontId="28" fillId="0" borderId="0" xfId="0" quotePrefix="1" applyFont="1" applyFill="1" applyAlignment="1">
      <alignment horizontal="left" wrapText="1"/>
    </xf>
    <xf numFmtId="0" fontId="28" fillId="0" borderId="0" xfId="0" applyFont="1" applyFill="1" applyAlignment="1">
      <alignment horizontal="left" wrapText="1"/>
    </xf>
    <xf numFmtId="0" fontId="41" fillId="11" borderId="0" xfId="0" applyFont="1" applyFill="1" applyAlignment="1">
      <alignment horizontal="left"/>
    </xf>
    <xf numFmtId="0" fontId="28" fillId="0" borderId="0" xfId="0" quotePrefix="1" applyFont="1" applyFill="1" applyBorder="1" applyAlignment="1">
      <alignment horizontal="left" wrapText="1"/>
    </xf>
    <xf numFmtId="0" fontId="18" fillId="0" borderId="31" xfId="0" applyFont="1" applyFill="1" applyBorder="1"/>
    <xf numFmtId="164" fontId="0" fillId="0" borderId="0" xfId="1" applyNumberFormat="1" applyFont="1" applyBorder="1"/>
    <xf numFmtId="164" fontId="0" fillId="13" borderId="0" xfId="1" applyNumberFormat="1" applyFont="1" applyFill="1" applyBorder="1"/>
    <xf numFmtId="0" fontId="28" fillId="0" borderId="0" xfId="0" applyFont="1" applyFill="1" applyBorder="1" applyAlignment="1">
      <alignment horizontal="left" wrapText="1"/>
    </xf>
    <xf numFmtId="0" fontId="9" fillId="0" borderId="0" xfId="0" applyFont="1" applyFill="1" applyBorder="1" applyProtection="1">
      <protection locked="0"/>
    </xf>
    <xf numFmtId="0" fontId="17" fillId="0" borderId="0" xfId="0" applyFont="1" applyBorder="1" applyAlignment="1" applyProtection="1">
      <alignment horizontal="center"/>
    </xf>
    <xf numFmtId="0" fontId="36" fillId="0" borderId="0" xfId="9" applyFont="1" applyFill="1" applyBorder="1" applyAlignment="1" applyProtection="1">
      <protection locked="0"/>
    </xf>
    <xf numFmtId="4" fontId="36" fillId="0" borderId="0" xfId="9" applyNumberFormat="1" applyFont="1" applyFill="1" applyBorder="1" applyAlignment="1" applyProtection="1">
      <protection locked="0"/>
    </xf>
    <xf numFmtId="0" fontId="43" fillId="14" borderId="18" xfId="6" applyFont="1" applyFill="1" applyBorder="1" applyAlignment="1" applyProtection="1">
      <alignment horizontal="center" wrapText="1"/>
    </xf>
    <xf numFmtId="0" fontId="43" fillId="14" borderId="17" xfId="6" applyFont="1" applyFill="1" applyBorder="1" applyAlignment="1" applyProtection="1">
      <alignment horizontal="center" wrapText="1"/>
    </xf>
    <xf numFmtId="4" fontId="43" fillId="14" borderId="17" xfId="6" applyNumberFormat="1" applyFont="1" applyFill="1" applyBorder="1" applyAlignment="1" applyProtection="1">
      <alignment horizontal="center" wrapText="1"/>
    </xf>
    <xf numFmtId="0" fontId="36" fillId="0" borderId="0" xfId="9" applyFont="1" applyFill="1" applyBorder="1" applyAlignment="1" applyProtection="1">
      <alignment wrapText="1"/>
      <protection locked="0"/>
    </xf>
    <xf numFmtId="0" fontId="44" fillId="0" borderId="0" xfId="9" applyFont="1" applyFill="1" applyBorder="1" applyAlignment="1" applyProtection="1">
      <protection locked="0"/>
    </xf>
    <xf numFmtId="0" fontId="45" fillId="0" borderId="16" xfId="6" applyNumberFormat="1" applyFont="1" applyFill="1" applyBorder="1" applyAlignment="1" applyProtection="1"/>
    <xf numFmtId="0" fontId="45" fillId="0" borderId="14" xfId="6" applyFont="1" applyFill="1" applyBorder="1" applyAlignment="1" applyProtection="1"/>
    <xf numFmtId="4" fontId="26" fillId="0" borderId="14" xfId="9" applyNumberFormat="1" applyFont="1" applyFill="1" applyBorder="1" applyAlignment="1" applyProtection="1"/>
    <xf numFmtId="0" fontId="26" fillId="0" borderId="0" xfId="9" applyFont="1" applyFill="1" applyBorder="1" applyAlignment="1" applyProtection="1">
      <protection locked="0"/>
    </xf>
    <xf numFmtId="0" fontId="45" fillId="4" borderId="15" xfId="6" applyNumberFormat="1" applyFont="1" applyFill="1" applyBorder="1" applyAlignment="1" applyProtection="1"/>
    <xf numFmtId="0" fontId="45" fillId="4" borderId="14" xfId="6" applyFont="1" applyFill="1" applyBorder="1" applyAlignment="1" applyProtection="1"/>
    <xf numFmtId="4" fontId="45" fillId="4" borderId="14" xfId="9" applyNumberFormat="1" applyFont="1" applyFill="1" applyBorder="1" applyAlignment="1" applyProtection="1"/>
    <xf numFmtId="0" fontId="37" fillId="3" borderId="15" xfId="6" applyNumberFormat="1" applyFont="1" applyFill="1" applyBorder="1" applyAlignment="1" applyProtection="1"/>
    <xf numFmtId="0" fontId="37" fillId="3" borderId="14" xfId="6" applyFont="1" applyFill="1" applyBorder="1" applyAlignment="1" applyProtection="1"/>
    <xf numFmtId="0" fontId="26" fillId="0" borderId="0" xfId="9" applyFont="1" applyFill="1" applyBorder="1" applyAlignment="1" applyProtection="1"/>
    <xf numFmtId="4" fontId="26" fillId="0" borderId="0" xfId="9" applyNumberFormat="1" applyFont="1" applyFill="1" applyBorder="1" applyAlignment="1" applyProtection="1">
      <protection locked="0"/>
    </xf>
    <xf numFmtId="166" fontId="26" fillId="0" borderId="0" xfId="3" applyNumberFormat="1" applyFont="1" applyFill="1" applyBorder="1" applyAlignment="1" applyProtection="1">
      <protection locked="0"/>
    </xf>
    <xf numFmtId="0" fontId="37" fillId="3" borderId="0" xfId="6" applyNumberFormat="1" applyFont="1" applyFill="1" applyBorder="1" applyAlignment="1" applyProtection="1"/>
    <xf numFmtId="0" fontId="37" fillId="3" borderId="48" xfId="6" applyFont="1" applyFill="1" applyBorder="1" applyAlignment="1" applyProtection="1"/>
    <xf numFmtId="4" fontId="26" fillId="0" borderId="49" xfId="9" applyNumberFormat="1" applyFont="1" applyFill="1" applyBorder="1" applyAlignment="1" applyProtection="1"/>
    <xf numFmtId="0" fontId="26" fillId="14" borderId="13" xfId="9" applyFont="1" applyFill="1" applyBorder="1" applyAlignment="1" applyProtection="1">
      <alignment horizontal="center"/>
    </xf>
    <xf numFmtId="4" fontId="26" fillId="14" borderId="12" xfId="9" applyNumberFormat="1" applyFont="1" applyFill="1" applyBorder="1" applyAlignment="1" applyProtection="1"/>
    <xf numFmtId="168" fontId="26" fillId="8" borderId="43" xfId="15" applyNumberFormat="1" applyFont="1" applyFill="1" applyBorder="1" applyAlignment="1">
      <alignment horizontal="center"/>
    </xf>
    <xf numFmtId="168" fontId="26" fillId="2" borderId="43" xfId="15" applyNumberFormat="1" applyFont="1" applyFill="1" applyBorder="1" applyAlignment="1">
      <alignment horizontal="center"/>
    </xf>
    <xf numFmtId="168" fontId="26" fillId="9" borderId="43" xfId="15" applyNumberFormat="1" applyFont="1" applyFill="1" applyBorder="1" applyAlignment="1">
      <alignment horizontal="center"/>
    </xf>
    <xf numFmtId="0" fontId="27" fillId="11" borderId="50" xfId="9" applyFont="1" applyFill="1" applyBorder="1" applyAlignment="1">
      <alignment horizontal="center" wrapText="1"/>
    </xf>
    <xf numFmtId="0" fontId="27" fillId="11" borderId="50" xfId="9" applyFont="1" applyFill="1" applyBorder="1" applyAlignment="1">
      <alignment horizontal="left" wrapText="1"/>
    </xf>
    <xf numFmtId="2" fontId="27" fillId="11" borderId="50" xfId="9" applyNumberFormat="1" applyFont="1" applyFill="1" applyBorder="1" applyAlignment="1">
      <alignment horizontal="center" wrapText="1"/>
    </xf>
    <xf numFmtId="0" fontId="27" fillId="11" borderId="50" xfId="9" applyFont="1" applyFill="1" applyBorder="1" applyAlignment="1">
      <alignment horizontal="center"/>
    </xf>
    <xf numFmtId="168" fontId="27" fillId="11" borderId="50" xfId="9" applyNumberFormat="1" applyFont="1" applyFill="1" applyBorder="1" applyAlignment="1">
      <alignment horizontal="center" wrapText="1"/>
    </xf>
    <xf numFmtId="4" fontId="47" fillId="0" borderId="0" xfId="9" applyNumberFormat="1" applyFont="1"/>
    <xf numFmtId="4" fontId="47" fillId="0" borderId="33" xfId="9" applyNumberFormat="1" applyFont="1" applyBorder="1"/>
    <xf numFmtId="2" fontId="27" fillId="0" borderId="0" xfId="9" applyNumberFormat="1" applyFont="1" applyBorder="1"/>
    <xf numFmtId="168" fontId="27" fillId="0" borderId="0" xfId="9" applyNumberFormat="1" applyFont="1" applyFill="1"/>
    <xf numFmtId="0" fontId="26" fillId="0" borderId="0" xfId="0" applyFont="1"/>
    <xf numFmtId="0" fontId="36" fillId="0" borderId="0" xfId="0" applyFont="1"/>
    <xf numFmtId="0" fontId="48" fillId="0" borderId="0" xfId="6" applyFont="1" applyAlignment="1">
      <alignment horizontal="center"/>
    </xf>
    <xf numFmtId="0" fontId="26" fillId="12" borderId="11" xfId="0" applyFont="1" applyFill="1" applyBorder="1" applyAlignment="1">
      <alignment horizontal="center" wrapText="1"/>
    </xf>
    <xf numFmtId="6" fontId="26" fillId="0" borderId="0" xfId="0" applyNumberFormat="1" applyFont="1"/>
    <xf numFmtId="166" fontId="13" fillId="13" borderId="44" xfId="3" applyNumberFormat="1" applyFont="1" applyFill="1" applyBorder="1" applyAlignment="1" applyProtection="1">
      <alignment horizontal="center"/>
      <protection locked="0"/>
    </xf>
    <xf numFmtId="0" fontId="44" fillId="13" borderId="25" xfId="0" applyFont="1" applyFill="1" applyBorder="1" applyAlignment="1" applyProtection="1">
      <alignment horizontal="center" vertical="center"/>
    </xf>
    <xf numFmtId="43" fontId="0" fillId="11" borderId="44" xfId="1" applyNumberFormat="1" applyFont="1" applyFill="1" applyBorder="1" applyProtection="1">
      <protection locked="0"/>
    </xf>
    <xf numFmtId="0" fontId="16" fillId="11" borderId="27" xfId="0" applyFont="1" applyFill="1" applyBorder="1" applyAlignment="1" applyProtection="1">
      <alignment horizontal="left"/>
    </xf>
    <xf numFmtId="0" fontId="16" fillId="11" borderId="10" xfId="0" applyFont="1" applyFill="1" applyBorder="1" applyAlignment="1" applyProtection="1">
      <alignment horizontal="left"/>
    </xf>
    <xf numFmtId="165" fontId="18" fillId="11" borderId="7" xfId="0" applyNumberFormat="1" applyFont="1" applyFill="1" applyBorder="1" applyProtection="1"/>
    <xf numFmtId="0" fontId="42" fillId="11" borderId="10" xfId="0" applyFont="1" applyFill="1" applyBorder="1" applyAlignment="1" applyProtection="1">
      <alignment horizontal="left"/>
    </xf>
    <xf numFmtId="165" fontId="49" fillId="11" borderId="7" xfId="2" applyNumberFormat="1" applyFont="1" applyFill="1" applyBorder="1" applyProtection="1"/>
    <xf numFmtId="0" fontId="43" fillId="11" borderId="18" xfId="6" applyFont="1" applyFill="1" applyBorder="1" applyAlignment="1" applyProtection="1">
      <alignment horizontal="center" wrapText="1"/>
    </xf>
    <xf numFmtId="0" fontId="43" fillId="11" borderId="17" xfId="6" applyFont="1" applyFill="1" applyBorder="1" applyAlignment="1" applyProtection="1">
      <alignment horizontal="center" wrapText="1"/>
    </xf>
    <xf numFmtId="0" fontId="44" fillId="0" borderId="0" xfId="0" applyFont="1"/>
    <xf numFmtId="0" fontId="51" fillId="0" borderId="0" xfId="0" applyFont="1"/>
    <xf numFmtId="0" fontId="26" fillId="12" borderId="11" xfId="0" applyFont="1" applyFill="1" applyBorder="1"/>
    <xf numFmtId="0" fontId="26" fillId="12" borderId="11" xfId="0" applyFont="1" applyFill="1" applyBorder="1" applyAlignment="1">
      <alignment horizontal="center"/>
    </xf>
    <xf numFmtId="0" fontId="26" fillId="0" borderId="11" xfId="39" applyFont="1" applyBorder="1"/>
    <xf numFmtId="0" fontId="26" fillId="0" borderId="11" xfId="39" applyFont="1" applyBorder="1" applyAlignment="1">
      <alignment horizontal="right"/>
    </xf>
    <xf numFmtId="6" fontId="26" fillId="0" borderId="11" xfId="39" applyNumberFormat="1" applyFont="1" applyBorder="1" applyAlignment="1">
      <alignment horizontal="right"/>
    </xf>
    <xf numFmtId="169" fontId="34" fillId="0" borderId="0" xfId="9" applyNumberFormat="1" applyFont="1" applyFill="1" applyAlignment="1">
      <alignment horizontal="center"/>
    </xf>
    <xf numFmtId="169" fontId="27" fillId="0" borderId="46" xfId="9" applyNumberFormat="1" applyFont="1" applyBorder="1"/>
    <xf numFmtId="0" fontId="21" fillId="0" borderId="0" xfId="27" applyFont="1"/>
    <xf numFmtId="1" fontId="9" fillId="0" borderId="0" xfId="28" applyNumberFormat="1" applyFont="1"/>
    <xf numFmtId="164" fontId="9" fillId="0" borderId="0" xfId="29" applyNumberFormat="1" applyFont="1"/>
    <xf numFmtId="0" fontId="1" fillId="0" borderId="0" xfId="28"/>
    <xf numFmtId="0" fontId="1" fillId="0" borderId="0" xfId="36"/>
    <xf numFmtId="0" fontId="9" fillId="0" borderId="0" xfId="28" applyFont="1"/>
    <xf numFmtId="0" fontId="9" fillId="0" borderId="0" xfId="36" applyFont="1"/>
    <xf numFmtId="0" fontId="26" fillId="0" borderId="0" xfId="30" applyFont="1"/>
    <xf numFmtId="1" fontId="26" fillId="0" borderId="0" xfId="31" applyNumberFormat="1" applyFont="1"/>
    <xf numFmtId="168" fontId="26" fillId="0" borderId="0" xfId="31" applyNumberFormat="1" applyFont="1" applyAlignment="1">
      <alignment horizontal="center"/>
    </xf>
    <xf numFmtId="0" fontId="26" fillId="0" borderId="0" xfId="31" applyFont="1"/>
    <xf numFmtId="168" fontId="26" fillId="5" borderId="0" xfId="31" applyNumberFormat="1" applyFont="1" applyFill="1" applyAlignment="1">
      <alignment horizontal="center"/>
    </xf>
    <xf numFmtId="168" fontId="26" fillId="6" borderId="0" xfId="31" applyNumberFormat="1" applyFont="1" applyFill="1" applyAlignment="1">
      <alignment horizontal="center"/>
    </xf>
    <xf numFmtId="168" fontId="26" fillId="7" borderId="0" xfId="31" applyNumberFormat="1" applyFont="1" applyFill="1" applyAlignment="1">
      <alignment horizontal="center"/>
    </xf>
    <xf numFmtId="0" fontId="9" fillId="11" borderId="11" xfId="32" applyFont="1" applyFill="1" applyBorder="1" applyAlignment="1">
      <alignment horizontal="center" wrapText="1"/>
    </xf>
    <xf numFmtId="1" fontId="9" fillId="11" borderId="11" xfId="32" applyNumberFormat="1" applyFont="1" applyFill="1" applyBorder="1" applyAlignment="1">
      <alignment horizontal="center" wrapText="1"/>
    </xf>
    <xf numFmtId="0" fontId="12" fillId="0" borderId="51" xfId="36" applyFont="1" applyBorder="1" applyAlignment="1">
      <alignment horizontal="center"/>
    </xf>
    <xf numFmtId="164" fontId="12" fillId="0" borderId="51" xfId="37" applyNumberFormat="1" applyFont="1" applyBorder="1" applyAlignment="1">
      <alignment horizontal="center"/>
    </xf>
    <xf numFmtId="0" fontId="9" fillId="0" borderId="0" xfId="9" applyFont="1"/>
    <xf numFmtId="164" fontId="9" fillId="0" borderId="0" xfId="5" applyNumberFormat="1" applyFont="1"/>
    <xf numFmtId="164" fontId="26" fillId="0" borderId="0" xfId="9" applyNumberFormat="1" applyFont="1"/>
    <xf numFmtId="0" fontId="26" fillId="0" borderId="0" xfId="9" applyFont="1"/>
    <xf numFmtId="0" fontId="12" fillId="0" borderId="0" xfId="9" applyFont="1"/>
    <xf numFmtId="164" fontId="12" fillId="0" borderId="0" xfId="5" applyNumberFormat="1" applyFont="1"/>
    <xf numFmtId="0" fontId="26" fillId="0" borderId="0" xfId="9" applyFont="1" applyAlignment="1">
      <alignment horizontal="center"/>
    </xf>
    <xf numFmtId="164" fontId="26" fillId="0" borderId="0" xfId="9" applyNumberFormat="1" applyFont="1" applyAlignment="1">
      <alignment horizontal="center"/>
    </xf>
    <xf numFmtId="164" fontId="0" fillId="11" borderId="44" xfId="1" applyNumberFormat="1" applyFont="1" applyFill="1" applyBorder="1" applyProtection="1">
      <protection locked="0"/>
    </xf>
    <xf numFmtId="43" fontId="0" fillId="0" borderId="0" xfId="1" applyFont="1" applyBorder="1" applyProtection="1"/>
    <xf numFmtId="0" fontId="9" fillId="0" borderId="6" xfId="0" applyFont="1" applyBorder="1" applyProtection="1"/>
    <xf numFmtId="43" fontId="0" fillId="0" borderId="7" xfId="1" applyFont="1" applyBorder="1" applyProtection="1"/>
    <xf numFmtId="0" fontId="9" fillId="0" borderId="52" xfId="0" applyFont="1" applyFill="1" applyBorder="1" applyAlignment="1" applyProtection="1">
      <alignment horizontal="left"/>
    </xf>
    <xf numFmtId="165" fontId="0" fillId="0" borderId="53" xfId="0" applyNumberFormat="1" applyFont="1" applyFill="1" applyBorder="1" applyProtection="1"/>
    <xf numFmtId="0" fontId="0" fillId="0" borderId="6" xfId="0" applyFont="1" applyBorder="1" applyProtection="1"/>
    <xf numFmtId="0" fontId="9" fillId="0" borderId="52" xfId="0" applyFont="1" applyBorder="1" applyProtection="1"/>
    <xf numFmtId="43" fontId="0" fillId="11" borderId="54" xfId="1" applyNumberFormat="1" applyFont="1" applyFill="1" applyBorder="1" applyProtection="1">
      <protection locked="0"/>
    </xf>
    <xf numFmtId="165" fontId="0" fillId="11" borderId="28" xfId="0" applyNumberFormat="1" applyFont="1" applyFill="1" applyBorder="1" applyProtection="1"/>
    <xf numFmtId="0" fontId="14" fillId="0" borderId="0" xfId="0" applyFont="1" applyFill="1" applyBorder="1" applyAlignment="1" applyProtection="1">
      <alignment horizontal="center"/>
    </xf>
  </cellXfs>
  <cellStyles count="40">
    <cellStyle name="Comma" xfId="1" builtinId="3"/>
    <cellStyle name="Comma 10" xfId="37" xr:uid="{8221DF66-90B0-4756-8F03-F8581E7D919E}"/>
    <cellStyle name="Comma 2" xfId="5" xr:uid="{00000000-0005-0000-0000-000001000000}"/>
    <cellStyle name="Comma 3" xfId="38" xr:uid="{976B8064-858B-494B-9D61-ED6624F60270}"/>
    <cellStyle name="Comma 6" xfId="14" xr:uid="{E435278F-E555-4916-809C-57481507D0CE}"/>
    <cellStyle name="Comma 6 2" xfId="22" xr:uid="{9C128017-4ED2-4C50-A6B2-E24170AAF4FF}"/>
    <cellStyle name="Comma 6 2 2" xfId="29" xr:uid="{E1DFBE6D-E195-4280-A232-1D6052AAB6AC}"/>
    <cellStyle name="Comma 7" xfId="18" xr:uid="{650513D1-B94C-4E47-8A53-CED1991A4774}"/>
    <cellStyle name="Currency" xfId="2" builtinId="4"/>
    <cellStyle name="Normal" xfId="0" builtinId="0"/>
    <cellStyle name="Normal 12" xfId="15" xr:uid="{766C52FC-3736-4DE1-9BB6-2D35FD26C555}"/>
    <cellStyle name="Normal 12 2" xfId="23" xr:uid="{A5B64834-D9DB-4754-BD9B-AB7EEF92C685}"/>
    <cellStyle name="Normal 12 2 2" xfId="31" xr:uid="{3B8940F0-D430-4B96-AE52-75AECF648E71}"/>
    <cellStyle name="Normal 13" xfId="17" xr:uid="{0801DBE4-A579-4A45-B4A5-97FFEE98AF92}"/>
    <cellStyle name="Normal 13 2" xfId="25" xr:uid="{0D042D23-C35B-4D9A-B3CA-9E9A5468194A}"/>
    <cellStyle name="Normal 13 2 2" xfId="32" xr:uid="{2A6AD0E5-E391-46E6-849E-E9B4B26EAEDD}"/>
    <cellStyle name="Normal 14" xfId="10" xr:uid="{1862F376-B224-4B40-B226-00B6638D105C}"/>
    <cellStyle name="Normal 14 3" xfId="26" xr:uid="{62F66593-EF97-4CEA-9A9E-CD070974B5DB}"/>
    <cellStyle name="Normal 15" xfId="16" xr:uid="{76957F20-AD03-49C5-8A5C-DDDB4B89D756}"/>
    <cellStyle name="Normal 15 2" xfId="24" xr:uid="{18A11CAE-6E9A-4570-B1CA-0F6EB4E533FA}"/>
    <cellStyle name="Normal 15 2 2" xfId="30" xr:uid="{FDC6D488-0570-4567-8A2F-0B9F6A083C45}"/>
    <cellStyle name="Normal 16" xfId="12" xr:uid="{0E427BD6-91BC-46B5-8058-27AF60525807}"/>
    <cellStyle name="Normal 16 2" xfId="20" xr:uid="{FEF65497-3D87-49A9-A9F0-C76D3A114F22}"/>
    <cellStyle name="Normal 16 2 2" xfId="28" xr:uid="{2BFC8762-DB62-4094-85D6-B3A9CA64F47C}"/>
    <cellStyle name="Normal 17" xfId="13" xr:uid="{BC756CA4-82C3-4E3E-B9CB-E430BA870A0A}"/>
    <cellStyle name="Normal 17 2" xfId="21" xr:uid="{0AD76884-0FBE-485C-8692-C4569E8211F8}"/>
    <cellStyle name="Normal 17 2 2" xfId="27" xr:uid="{91C1B1E7-4D13-487C-AC31-A12CDC15EF31}"/>
    <cellStyle name="Normal 18" xfId="33" xr:uid="{F87AD110-32D9-4538-A2FC-A23C5C56967D}"/>
    <cellStyle name="Normal 18 2" xfId="34" xr:uid="{C9E52403-3CA6-4651-9CBE-0FD5B1884B86}"/>
    <cellStyle name="Normal 2" xfId="4" xr:uid="{00000000-0005-0000-0000-000005000000}"/>
    <cellStyle name="Normal 2 2" xfId="7" xr:uid="{00000000-0005-0000-0000-000001000000}"/>
    <cellStyle name="Normal 2 3" xfId="9" xr:uid="{35A212B9-6B32-4522-A434-5B62762F88C4}"/>
    <cellStyle name="Normal 20" xfId="36" xr:uid="{8BAC0691-2862-494E-83AD-3FD0457BE31E}"/>
    <cellStyle name="Normal 3" xfId="8" xr:uid="{3649E2E0-5C72-4D5D-99B2-CC378650735E}"/>
    <cellStyle name="Normal 4" xfId="35" xr:uid="{6DC2122E-79A8-415B-8C5C-454854DA7992}"/>
    <cellStyle name="Normal_DistrictList" xfId="19" xr:uid="{849AF075-A001-40D6-A835-76809FF52193}"/>
    <cellStyle name="Normal_Sheet1" xfId="6" xr:uid="{00000000-0005-0000-0000-000002000000}"/>
    <cellStyle name="Normal_Sheet1_1" xfId="39" xr:uid="{FE6EA5D2-F855-4ACE-8D90-56FE7C4B282A}"/>
    <cellStyle name="Percent" xfId="3" builtinId="5"/>
    <cellStyle name="Percent 2" xfId="11" xr:uid="{815D0620-3029-4AB2-B22C-548012BE0EB0}"/>
  </cellStyles>
  <dxfs count="0"/>
  <tableStyles count="0" defaultTableStyle="TableStyleMedium2" defaultPivotStyle="PivotStyleLight16"/>
  <colors>
    <mruColors>
      <color rgb="FFC7B784"/>
      <color rgb="FFC7C784"/>
      <color rgb="FF802629"/>
      <color rgb="FFC0504D"/>
      <color rgb="FFFFFFCC"/>
      <color rgb="FFFCD6B6"/>
      <color rgb="FFB4E9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332312</xdr:colOff>
      <xdr:row>5</xdr:row>
      <xdr:rowOff>206376</xdr:rowOff>
    </xdr:from>
    <xdr:to>
      <xdr:col>4</xdr:col>
      <xdr:colOff>1100667</xdr:colOff>
      <xdr:row>6</xdr:row>
      <xdr:rowOff>201084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90187" y="1111251"/>
          <a:ext cx="3130555" cy="204258"/>
        </a:xfrm>
        <a:prstGeom prst="rect">
          <a:avLst/>
        </a:prstGeom>
        <a:solidFill>
          <a:srgbClr val="C7B78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US" sz="1000" b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Enter estimated count of students:</a:t>
          </a:r>
          <a:r>
            <a:rPr lang="en-US" sz="1000" b="0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  SAFE Fall </a:t>
          </a:r>
          <a:r>
            <a:rPr lang="en-US" sz="1000" b="0" u="sng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2025</a:t>
          </a:r>
        </a:p>
      </xdr:txBody>
    </xdr:sp>
    <xdr:clientData/>
  </xdr:twoCellAnchor>
  <xdr:twoCellAnchor>
    <xdr:from>
      <xdr:col>5</xdr:col>
      <xdr:colOff>338668</xdr:colOff>
      <xdr:row>39</xdr:row>
      <xdr:rowOff>29097</xdr:rowOff>
    </xdr:from>
    <xdr:to>
      <xdr:col>6</xdr:col>
      <xdr:colOff>1278466</xdr:colOff>
      <xdr:row>41</xdr:row>
      <xdr:rowOff>169331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E3E07DA2-187C-4CAC-BB78-3C2589A08D3D}"/>
            </a:ext>
          </a:extLst>
        </xdr:cNvPr>
        <xdr:cNvSpPr txBox="1"/>
      </xdr:nvSpPr>
      <xdr:spPr>
        <a:xfrm>
          <a:off x="10049935" y="7310430"/>
          <a:ext cx="2336798" cy="580501"/>
        </a:xfrm>
        <a:prstGeom prst="rect">
          <a:avLst/>
        </a:prstGeom>
        <a:solidFill>
          <a:srgbClr val="C7B78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US" sz="1000" b="0" u="none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Enter projected taxable valuation growth percentage for Pay 2026.</a:t>
          </a:r>
          <a:br>
            <a:rPr lang="en-US" sz="1000" b="0" u="none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</a:br>
          <a:r>
            <a:rPr lang="en-US" sz="1000" b="0" u="none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Consider consulting with County Auditor.</a:t>
          </a:r>
          <a:endParaRPr lang="en-US" sz="1000" b="0" baseline="0">
            <a:solidFill>
              <a:schemeClr val="tx1"/>
            </a:solidFill>
            <a:latin typeface="+mn-lt"/>
          </a:endParaRPr>
        </a:p>
        <a:p>
          <a:endParaRPr lang="en-US" sz="1100" b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4</xdr:col>
      <xdr:colOff>656162</xdr:colOff>
      <xdr:row>0</xdr:row>
      <xdr:rowOff>6356</xdr:rowOff>
    </xdr:from>
    <xdr:to>
      <xdr:col>6</xdr:col>
      <xdr:colOff>973666</xdr:colOff>
      <xdr:row>3</xdr:row>
      <xdr:rowOff>131677</xdr:rowOff>
    </xdr:to>
    <xdr:pic>
      <xdr:nvPicPr>
        <xdr:cNvPr id="17" name="Picture 16" descr="South Dakota Department of Education">
          <a:extLst>
            <a:ext uri="{FF2B5EF4-FFF2-40B4-BE49-F238E27FC236}">
              <a16:creationId xmlns:a16="http://schemas.microsoft.com/office/drawing/2014/main" id="{BBE51A79-9E30-47CE-AC85-984C7BE9F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65162" y="6356"/>
          <a:ext cx="2933705" cy="606228"/>
        </a:xfrm>
        <a:prstGeom prst="rect">
          <a:avLst/>
        </a:prstGeom>
      </xdr:spPr>
    </xdr:pic>
    <xdr:clientData/>
  </xdr:twoCellAnchor>
  <xdr:twoCellAnchor>
    <xdr:from>
      <xdr:col>2</xdr:col>
      <xdr:colOff>22224</xdr:colOff>
      <xdr:row>7</xdr:row>
      <xdr:rowOff>61382</xdr:rowOff>
    </xdr:from>
    <xdr:to>
      <xdr:col>2</xdr:col>
      <xdr:colOff>309826</xdr:colOff>
      <xdr:row>7</xdr:row>
      <xdr:rowOff>163830</xdr:rowOff>
    </xdr:to>
    <xdr:sp macro="" textlink="">
      <xdr:nvSpPr>
        <xdr:cNvPr id="14" name="Down Arrow 9" descr="Left Arrow">
          <a:extLst>
            <a:ext uri="{FF2B5EF4-FFF2-40B4-BE49-F238E27FC236}">
              <a16:creationId xmlns:a16="http://schemas.microsoft.com/office/drawing/2014/main" id="{2A882743-1F80-493A-8F8A-9248AB6B2B03}"/>
            </a:ext>
          </a:extLst>
        </xdr:cNvPr>
        <xdr:cNvSpPr/>
      </xdr:nvSpPr>
      <xdr:spPr>
        <a:xfrm rot="5400000">
          <a:off x="5972676" y="1959530"/>
          <a:ext cx="102448" cy="287602"/>
        </a:xfrm>
        <a:prstGeom prst="downArrow">
          <a:avLst/>
        </a:prstGeom>
        <a:solidFill>
          <a:srgbClr val="C7B784"/>
        </a:solidFill>
        <a:ln>
          <a:solidFill>
            <a:srgbClr val="C7B78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317500</xdr:colOff>
      <xdr:row>7</xdr:row>
      <xdr:rowOff>10584</xdr:rowOff>
    </xdr:from>
    <xdr:to>
      <xdr:col>5</xdr:col>
      <xdr:colOff>592667</xdr:colOff>
      <xdr:row>8</xdr:row>
      <xdr:rowOff>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6214AD7F-3986-4E2F-9EFA-AC7840601FC1}"/>
            </a:ext>
          </a:extLst>
        </xdr:cNvPr>
        <xdr:cNvSpPr txBox="1"/>
      </xdr:nvSpPr>
      <xdr:spPr>
        <a:xfrm>
          <a:off x="6731000" y="1799167"/>
          <a:ext cx="3862917" cy="222250"/>
        </a:xfrm>
        <a:prstGeom prst="rect">
          <a:avLst/>
        </a:prstGeom>
        <a:solidFill>
          <a:srgbClr val="C7B78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US" sz="1000" b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Applies only to </a:t>
          </a:r>
          <a:r>
            <a:rPr lang="en-US" sz="1000" b="1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Plankinton</a:t>
          </a:r>
          <a:r>
            <a:rPr lang="en-US" sz="1000" b="1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 &amp; Parkston </a:t>
          </a:r>
          <a:r>
            <a:rPr lang="en-US" sz="1000" b="0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- </a:t>
          </a:r>
          <a:r>
            <a:rPr lang="en-US" sz="1000" b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SDCL 13-13-10.1 (2C)</a:t>
          </a:r>
          <a:endParaRPr lang="en-US" sz="1000" b="0" u="sng" baseline="0">
            <a:solidFill>
              <a:schemeClr val="tx1"/>
            </a:solidFill>
            <a:latin typeface="+mn-lt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  <xdr:twoCellAnchor>
    <xdr:from>
      <xdr:col>5</xdr:col>
      <xdr:colOff>42332</xdr:colOff>
      <xdr:row>40</xdr:row>
      <xdr:rowOff>21166</xdr:rowOff>
    </xdr:from>
    <xdr:to>
      <xdr:col>5</xdr:col>
      <xdr:colOff>329934</xdr:colOff>
      <xdr:row>40</xdr:row>
      <xdr:rowOff>189966</xdr:rowOff>
    </xdr:to>
    <xdr:sp macro="" textlink="">
      <xdr:nvSpPr>
        <xdr:cNvPr id="22" name="Down Arrow 9" descr="Left Arrow">
          <a:extLst>
            <a:ext uri="{FF2B5EF4-FFF2-40B4-BE49-F238E27FC236}">
              <a16:creationId xmlns:a16="http://schemas.microsoft.com/office/drawing/2014/main" id="{132033CE-93AD-4646-8A31-1CB1058ED27C}"/>
            </a:ext>
          </a:extLst>
        </xdr:cNvPr>
        <xdr:cNvSpPr/>
      </xdr:nvSpPr>
      <xdr:spPr>
        <a:xfrm rot="5400000">
          <a:off x="10102983" y="7602932"/>
          <a:ext cx="168800" cy="287602"/>
        </a:xfrm>
        <a:prstGeom prst="downArrow">
          <a:avLst/>
        </a:prstGeom>
        <a:solidFill>
          <a:srgbClr val="C7B784"/>
        </a:solidFill>
        <a:ln>
          <a:solidFill>
            <a:srgbClr val="C7B78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333375</xdr:colOff>
      <xdr:row>30</xdr:row>
      <xdr:rowOff>47625</xdr:rowOff>
    </xdr:from>
    <xdr:to>
      <xdr:col>6</xdr:col>
      <xdr:colOff>174630</xdr:colOff>
      <xdr:row>32</xdr:row>
      <xdr:rowOff>68792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B39A043-6ACE-49F6-B5C3-32D3DDEEDB0F}"/>
            </a:ext>
          </a:extLst>
        </xdr:cNvPr>
        <xdr:cNvSpPr txBox="1"/>
      </xdr:nvSpPr>
      <xdr:spPr>
        <a:xfrm>
          <a:off x="6191250" y="1381125"/>
          <a:ext cx="4737105" cy="459317"/>
        </a:xfrm>
        <a:prstGeom prst="rect">
          <a:avLst/>
        </a:prstGeom>
        <a:solidFill>
          <a:srgbClr val="C7B78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US" sz="1000" b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Enter count</a:t>
          </a:r>
          <a:r>
            <a:rPr lang="en-US" sz="1000" b="0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 of Alternative Instruction (home school) students that participated in HS interscholastic activities sanctioned SDHSAA (2024-2025 school year)</a:t>
          </a:r>
          <a:endParaRPr lang="en-US" sz="1000" b="0" u="sng" baseline="0">
            <a:solidFill>
              <a:schemeClr val="tx1"/>
            </a:solidFill>
            <a:latin typeface="+mn-lt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  <xdr:twoCellAnchor>
    <xdr:from>
      <xdr:col>2</xdr:col>
      <xdr:colOff>28575</xdr:colOff>
      <xdr:row>30</xdr:row>
      <xdr:rowOff>66675</xdr:rowOff>
    </xdr:from>
    <xdr:to>
      <xdr:col>2</xdr:col>
      <xdr:colOff>316177</xdr:colOff>
      <xdr:row>30</xdr:row>
      <xdr:rowOff>169123</xdr:rowOff>
    </xdr:to>
    <xdr:sp macro="" textlink="">
      <xdr:nvSpPr>
        <xdr:cNvPr id="5" name="Down Arrow 9" descr="Left Arrow">
          <a:extLst>
            <a:ext uri="{FF2B5EF4-FFF2-40B4-BE49-F238E27FC236}">
              <a16:creationId xmlns:a16="http://schemas.microsoft.com/office/drawing/2014/main" id="{A787F0E6-FCA9-4F97-9542-631AE41A35DC}"/>
            </a:ext>
          </a:extLst>
        </xdr:cNvPr>
        <xdr:cNvSpPr/>
      </xdr:nvSpPr>
      <xdr:spPr>
        <a:xfrm rot="5400000">
          <a:off x="5979027" y="1307598"/>
          <a:ext cx="102448" cy="287602"/>
        </a:xfrm>
        <a:prstGeom prst="downArrow">
          <a:avLst/>
        </a:prstGeom>
        <a:solidFill>
          <a:srgbClr val="C7B784"/>
        </a:solidFill>
        <a:ln>
          <a:solidFill>
            <a:srgbClr val="C7B78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6</xdr:row>
      <xdr:rowOff>28575</xdr:rowOff>
    </xdr:from>
    <xdr:to>
      <xdr:col>2</xdr:col>
      <xdr:colOff>316177</xdr:colOff>
      <xdr:row>6</xdr:row>
      <xdr:rowOff>131023</xdr:rowOff>
    </xdr:to>
    <xdr:sp macro="" textlink="">
      <xdr:nvSpPr>
        <xdr:cNvPr id="6" name="Down Arrow 9" descr="Left Arrow">
          <a:extLst>
            <a:ext uri="{FF2B5EF4-FFF2-40B4-BE49-F238E27FC236}">
              <a16:creationId xmlns:a16="http://schemas.microsoft.com/office/drawing/2014/main" id="{88A8D429-E090-469F-915A-139381C94FF1}"/>
            </a:ext>
          </a:extLst>
        </xdr:cNvPr>
        <xdr:cNvSpPr/>
      </xdr:nvSpPr>
      <xdr:spPr>
        <a:xfrm rot="5400000">
          <a:off x="5979027" y="1050423"/>
          <a:ext cx="102448" cy="287602"/>
        </a:xfrm>
        <a:prstGeom prst="downArrow">
          <a:avLst/>
        </a:prstGeom>
        <a:solidFill>
          <a:srgbClr val="C7B784"/>
        </a:solidFill>
        <a:ln>
          <a:solidFill>
            <a:srgbClr val="C7B78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12</xdr:row>
      <xdr:rowOff>47625</xdr:rowOff>
    </xdr:from>
    <xdr:to>
      <xdr:col>2</xdr:col>
      <xdr:colOff>316177</xdr:colOff>
      <xdr:row>12</xdr:row>
      <xdr:rowOff>150073</xdr:rowOff>
    </xdr:to>
    <xdr:sp macro="" textlink="">
      <xdr:nvSpPr>
        <xdr:cNvPr id="7" name="Down Arrow 9" descr="Left Arrow">
          <a:extLst>
            <a:ext uri="{FF2B5EF4-FFF2-40B4-BE49-F238E27FC236}">
              <a16:creationId xmlns:a16="http://schemas.microsoft.com/office/drawing/2014/main" id="{3D9C215B-6ED6-46F8-A01F-01978BAFB8A8}"/>
            </a:ext>
          </a:extLst>
        </xdr:cNvPr>
        <xdr:cNvSpPr/>
      </xdr:nvSpPr>
      <xdr:spPr>
        <a:xfrm rot="5400000">
          <a:off x="5979027" y="2898273"/>
          <a:ext cx="102448" cy="287602"/>
        </a:xfrm>
        <a:prstGeom prst="downArrow">
          <a:avLst/>
        </a:prstGeom>
        <a:solidFill>
          <a:srgbClr val="C7B784"/>
        </a:solidFill>
        <a:ln>
          <a:solidFill>
            <a:srgbClr val="C7B78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333375</xdr:colOff>
      <xdr:row>12</xdr:row>
      <xdr:rowOff>0</xdr:rowOff>
    </xdr:from>
    <xdr:to>
      <xdr:col>5</xdr:col>
      <xdr:colOff>629708</xdr:colOff>
      <xdr:row>14</xdr:row>
      <xdr:rowOff>31749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216C321-313B-4F01-BABF-2042010BC291}"/>
            </a:ext>
          </a:extLst>
        </xdr:cNvPr>
        <xdr:cNvSpPr txBox="1"/>
      </xdr:nvSpPr>
      <xdr:spPr>
        <a:xfrm>
          <a:off x="6191250" y="2943225"/>
          <a:ext cx="3839633" cy="469899"/>
        </a:xfrm>
        <a:prstGeom prst="rect">
          <a:avLst/>
        </a:prstGeom>
        <a:solidFill>
          <a:srgbClr val="C7B78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US" sz="1000" b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Enter projected count</a:t>
          </a:r>
          <a:r>
            <a:rPr lang="en-US" sz="1000" b="0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 of LEP students scoring (composite) less than 4.0 on Language Acquisition Assessment (taken 2/2025)</a:t>
          </a:r>
          <a:endParaRPr lang="en-US" sz="1000" b="0" u="sng" baseline="0">
            <a:solidFill>
              <a:schemeClr val="tx1"/>
            </a:solidFill>
            <a:latin typeface="+mn-lt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209550</xdr:colOff>
      <xdr:row>0</xdr:row>
      <xdr:rowOff>0</xdr:rowOff>
    </xdr:from>
    <xdr:ext cx="1956404" cy="433959"/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8E1C8859-A83F-46F4-8130-0964D8C40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5590" y="0"/>
          <a:ext cx="1956404" cy="43395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AID\HISTORIC\PRO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%20Aid\FY99\finalest\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7B784"/>
  </sheetPr>
  <dimension ref="A1:G54"/>
  <sheetViews>
    <sheetView showGridLines="0" tabSelected="1" zoomScaleNormal="100" zoomScalePageLayoutView="90" workbookViewId="0">
      <pane ySplit="4" topLeftCell="A5" activePane="bottomLeft" state="frozen"/>
      <selection pane="bottomLeft" activeCell="A4" sqref="A4"/>
    </sheetView>
  </sheetViews>
  <sheetFormatPr defaultColWidth="8.85546875" defaultRowHeight="12.75" x14ac:dyDescent="0.2"/>
  <cols>
    <col min="1" max="1" width="68" style="14" customWidth="1"/>
    <col min="2" max="2" width="19.85546875" style="16" customWidth="1"/>
    <col min="3" max="3" width="17.7109375" style="14" customWidth="1"/>
    <col min="4" max="4" width="17.7109375" style="23" customWidth="1"/>
    <col min="5" max="5" width="17.7109375" style="14" customWidth="1"/>
    <col min="6" max="6" width="20.28515625" style="14" customWidth="1"/>
    <col min="7" max="7" width="19.7109375" style="14" customWidth="1"/>
    <col min="8" max="8" width="1.5703125" style="14" customWidth="1"/>
    <col min="9" max="16384" width="8.85546875" style="14"/>
  </cols>
  <sheetData>
    <row r="1" spans="1:7" s="8" customFormat="1" ht="22.9" customHeight="1" x14ac:dyDescent="0.2">
      <c r="A1" s="71" t="s">
        <v>483</v>
      </c>
      <c r="B1" s="7"/>
      <c r="C1" s="7"/>
    </row>
    <row r="2" spans="1:7" s="8" customFormat="1" ht="12" customHeight="1" x14ac:dyDescent="0.2">
      <c r="A2" s="9" t="s">
        <v>482</v>
      </c>
      <c r="B2" s="10"/>
      <c r="C2" s="11"/>
      <c r="D2" s="12"/>
    </row>
    <row r="3" spans="1:7" s="8" customFormat="1" ht="3.75" customHeight="1" thickBot="1" x14ac:dyDescent="0.25">
      <c r="A3" s="11"/>
      <c r="B3" s="13"/>
      <c r="C3" s="11"/>
      <c r="D3" s="12"/>
    </row>
    <row r="4" spans="1:7" s="63" customFormat="1" ht="27.6" customHeight="1" thickTop="1" thickBot="1" x14ac:dyDescent="0.55000000000000004">
      <c r="A4" s="72" t="s">
        <v>143</v>
      </c>
      <c r="C4" s="64">
        <f>INDEX(DistrictList!$A$2:$A$148,MATCH($A$4,DistrictList!$B$2:$B$148,0),0)</f>
        <v>6001</v>
      </c>
    </row>
    <row r="5" spans="1:7" ht="6" customHeight="1" thickTop="1" x14ac:dyDescent="0.2">
      <c r="B5" s="14"/>
      <c r="D5" s="14"/>
      <c r="G5" s="14" t="s">
        <v>140</v>
      </c>
    </row>
    <row r="6" spans="1:7" ht="16.899999999999999" customHeight="1" thickBot="1" x14ac:dyDescent="0.3">
      <c r="A6" s="66" t="s">
        <v>2</v>
      </c>
      <c r="B6" s="15"/>
      <c r="D6" s="14"/>
    </row>
    <row r="7" spans="1:7" ht="17.45" customHeight="1" thickBot="1" x14ac:dyDescent="0.3">
      <c r="A7" s="67" t="s">
        <v>434</v>
      </c>
      <c r="B7" s="247"/>
      <c r="D7" s="14"/>
      <c r="G7" s="16"/>
    </row>
    <row r="8" spans="1:7" ht="17.45" customHeight="1" thickBot="1" x14ac:dyDescent="0.3">
      <c r="A8" s="68" t="s">
        <v>384</v>
      </c>
      <c r="B8" s="247"/>
      <c r="D8" s="14"/>
      <c r="G8" s="16"/>
    </row>
    <row r="9" spans="1:7" ht="17.45" customHeight="1" x14ac:dyDescent="0.25">
      <c r="A9" s="69" t="s">
        <v>402</v>
      </c>
      <c r="B9" s="19">
        <f>IF(($B$7)&lt;200,12,IF(($B$7)&gt;600,15,((($B$7)-$B$8)*0.0075)+10.5))</f>
        <v>12</v>
      </c>
      <c r="D9" s="14"/>
      <c r="G9" s="16"/>
    </row>
    <row r="10" spans="1:7" ht="17.45" customHeight="1" x14ac:dyDescent="0.25">
      <c r="A10" s="69" t="s">
        <v>3</v>
      </c>
      <c r="B10" s="20">
        <f>(B7)/B9</f>
        <v>0</v>
      </c>
      <c r="D10" s="14"/>
    </row>
    <row r="11" spans="1:7" ht="6" customHeight="1" x14ac:dyDescent="0.25">
      <c r="A11" s="77"/>
      <c r="B11" s="21"/>
      <c r="D11" s="14"/>
    </row>
    <row r="12" spans="1:7" ht="17.45" customHeight="1" thickBot="1" x14ac:dyDescent="0.3">
      <c r="A12" s="66" t="s">
        <v>0</v>
      </c>
      <c r="B12" s="22"/>
    </row>
    <row r="13" spans="1:7" ht="17.45" customHeight="1" thickBot="1" x14ac:dyDescent="0.3">
      <c r="A13" s="67" t="s">
        <v>403</v>
      </c>
      <c r="B13" s="290"/>
    </row>
    <row r="14" spans="1:7" ht="17.45" customHeight="1" x14ac:dyDescent="0.25">
      <c r="A14" s="69" t="s">
        <v>404</v>
      </c>
      <c r="B14" s="24">
        <v>0.25</v>
      </c>
    </row>
    <row r="15" spans="1:7" ht="17.45" customHeight="1" x14ac:dyDescent="0.25">
      <c r="A15" s="67" t="s">
        <v>1</v>
      </c>
      <c r="B15" s="18">
        <f>IF(B13=0,0,B13*B14)</f>
        <v>0</v>
      </c>
      <c r="G15" s="25"/>
    </row>
    <row r="16" spans="1:7" ht="17.45" customHeight="1" x14ac:dyDescent="0.25">
      <c r="A16" s="292" t="s">
        <v>370</v>
      </c>
      <c r="B16" s="293">
        <f>B15/B9</f>
        <v>0</v>
      </c>
    </row>
    <row r="17" spans="1:7" ht="6" customHeight="1" x14ac:dyDescent="0.25">
      <c r="A17" s="78"/>
      <c r="B17" s="26"/>
      <c r="D17" s="14"/>
    </row>
    <row r="18" spans="1:7" ht="17.45" customHeight="1" x14ac:dyDescent="0.25">
      <c r="A18" s="296" t="s">
        <v>310</v>
      </c>
      <c r="B18" s="27">
        <f>B10+B16</f>
        <v>0</v>
      </c>
      <c r="D18" s="14"/>
    </row>
    <row r="19" spans="1:7" ht="6" customHeight="1" x14ac:dyDescent="0.25">
      <c r="A19" s="78"/>
      <c r="B19" s="26"/>
      <c r="D19" s="14"/>
    </row>
    <row r="20" spans="1:7" ht="17.45" customHeight="1" x14ac:dyDescent="0.25">
      <c r="A20" s="70" t="s">
        <v>4</v>
      </c>
      <c r="B20" s="28"/>
      <c r="D20" s="14"/>
    </row>
    <row r="21" spans="1:7" ht="17.45" customHeight="1" x14ac:dyDescent="0.25">
      <c r="A21" s="67" t="s">
        <v>8</v>
      </c>
      <c r="B21" s="29">
        <v>62821.19</v>
      </c>
      <c r="D21" s="14"/>
      <c r="F21" s="30"/>
    </row>
    <row r="22" spans="1:7" ht="17.45" customHeight="1" x14ac:dyDescent="0.25">
      <c r="A22" s="69" t="s">
        <v>405</v>
      </c>
      <c r="B22" s="31">
        <v>0.28999999999999998</v>
      </c>
      <c r="D22" s="14"/>
    </row>
    <row r="23" spans="1:7" ht="17.45" customHeight="1" x14ac:dyDescent="0.25">
      <c r="A23" s="67" t="s">
        <v>5</v>
      </c>
      <c r="B23" s="32">
        <f>B21*(1+B22)</f>
        <v>81039.335100000011</v>
      </c>
    </row>
    <row r="24" spans="1:7" ht="17.45" customHeight="1" thickBot="1" x14ac:dyDescent="0.3">
      <c r="A24" s="141" t="s">
        <v>6</v>
      </c>
      <c r="B24" s="142">
        <f>B23*B18</f>
        <v>0</v>
      </c>
      <c r="C24" s="33"/>
      <c r="D24" s="300"/>
      <c r="E24" s="300"/>
      <c r="F24" s="300"/>
      <c r="G24" s="300"/>
    </row>
    <row r="25" spans="1:7" ht="6" customHeight="1" thickTop="1" x14ac:dyDescent="0.25">
      <c r="A25" s="78"/>
      <c r="B25" s="26"/>
      <c r="C25" s="34"/>
      <c r="D25" s="33"/>
      <c r="E25" s="33"/>
      <c r="F25" s="33"/>
      <c r="G25" s="33"/>
    </row>
    <row r="26" spans="1:7" ht="17.45" customHeight="1" x14ac:dyDescent="0.25">
      <c r="A26" s="70" t="s">
        <v>484</v>
      </c>
      <c r="B26" s="28"/>
      <c r="C26" s="35"/>
      <c r="D26" s="36"/>
      <c r="E26" s="36"/>
      <c r="F26" s="36"/>
      <c r="G26" s="36"/>
    </row>
    <row r="27" spans="1:7" ht="17.45" customHeight="1" x14ac:dyDescent="0.25">
      <c r="A27" s="67" t="s">
        <v>486</v>
      </c>
      <c r="B27" s="37">
        <v>0.38779999999999998</v>
      </c>
      <c r="C27" s="38"/>
      <c r="D27" s="39"/>
      <c r="E27" s="39"/>
      <c r="F27" s="39"/>
      <c r="G27" s="40"/>
    </row>
    <row r="28" spans="1:7" ht="17.45" customHeight="1" thickBot="1" x14ac:dyDescent="0.3">
      <c r="A28" s="294" t="s">
        <v>485</v>
      </c>
      <c r="B28" s="295">
        <f>B24*B27</f>
        <v>0</v>
      </c>
      <c r="C28" s="35"/>
      <c r="D28" s="36"/>
      <c r="E28" s="36"/>
      <c r="F28" s="36"/>
      <c r="G28" s="36"/>
    </row>
    <row r="29" spans="1:7" ht="6" customHeight="1" thickTop="1" x14ac:dyDescent="0.25">
      <c r="A29" s="79"/>
      <c r="B29" s="41"/>
      <c r="C29" s="35"/>
      <c r="D29" s="42"/>
      <c r="E29" s="42"/>
      <c r="F29" s="42"/>
      <c r="G29" s="35"/>
    </row>
    <row r="30" spans="1:7" ht="17.45" customHeight="1" thickBot="1" x14ac:dyDescent="0.3">
      <c r="A30" s="70" t="s">
        <v>487</v>
      </c>
      <c r="B30" s="28"/>
      <c r="C30" s="35"/>
      <c r="D30" s="36"/>
      <c r="E30" s="36"/>
      <c r="F30" s="36"/>
      <c r="G30" s="36"/>
    </row>
    <row r="31" spans="1:7" ht="17.45" customHeight="1" thickBot="1" x14ac:dyDescent="0.3">
      <c r="A31" s="67" t="s">
        <v>400</v>
      </c>
      <c r="B31" s="298"/>
      <c r="D31" s="14"/>
      <c r="G31" s="16"/>
    </row>
    <row r="32" spans="1:7" ht="17.45" customHeight="1" x14ac:dyDescent="0.25">
      <c r="A32" s="67" t="s">
        <v>401</v>
      </c>
      <c r="B32" s="17">
        <v>0.1</v>
      </c>
      <c r="D32" s="14"/>
      <c r="G32" s="16"/>
    </row>
    <row r="33" spans="1:7" ht="17.45" customHeight="1" x14ac:dyDescent="0.25">
      <c r="A33" s="67" t="s">
        <v>488</v>
      </c>
      <c r="B33" s="18">
        <f>IF(B31=0,0,B31*B32)</f>
        <v>0</v>
      </c>
      <c r="D33" s="14"/>
      <c r="G33" s="16"/>
    </row>
    <row r="34" spans="1:7" ht="17.45" customHeight="1" thickBot="1" x14ac:dyDescent="0.3">
      <c r="A34" s="297" t="s">
        <v>489</v>
      </c>
      <c r="B34" s="295">
        <f>B33*((B23*(1+B27))/15)</f>
        <v>0</v>
      </c>
      <c r="D34" s="14"/>
      <c r="G34" s="16"/>
    </row>
    <row r="35" spans="1:7" ht="6" customHeight="1" thickTop="1" thickBot="1" x14ac:dyDescent="0.3">
      <c r="A35" s="77"/>
      <c r="B35" s="291"/>
      <c r="D35" s="14"/>
      <c r="G35" s="16"/>
    </row>
    <row r="36" spans="1:7" ht="22.15" customHeight="1" thickTop="1" thickBot="1" x14ac:dyDescent="0.4">
      <c r="A36" s="248" t="s">
        <v>311</v>
      </c>
      <c r="B36" s="299">
        <f>B24+B28+B34</f>
        <v>0</v>
      </c>
      <c r="C36" s="35"/>
      <c r="D36" s="36"/>
      <c r="E36" s="36"/>
      <c r="F36" s="36"/>
      <c r="G36" s="43"/>
    </row>
    <row r="37" spans="1:7" s="8" customFormat="1" ht="6" customHeight="1" thickTop="1" thickBot="1" x14ac:dyDescent="0.25">
      <c r="A37" s="203"/>
      <c r="B37" s="203"/>
    </row>
    <row r="38" spans="1:7" s="8" customFormat="1" ht="17.45" customHeight="1" thickTop="1" x14ac:dyDescent="0.25">
      <c r="A38" s="73" t="s">
        <v>435</v>
      </c>
      <c r="B38" s="44"/>
      <c r="C38" s="44"/>
      <c r="D38" s="44"/>
      <c r="E38" s="45"/>
    </row>
    <row r="39" spans="1:7" s="8" customFormat="1" ht="15" customHeight="1" x14ac:dyDescent="0.25">
      <c r="A39" s="46"/>
      <c r="B39" s="47" t="s">
        <v>300</v>
      </c>
      <c r="C39" s="47" t="s">
        <v>312</v>
      </c>
      <c r="D39" s="47" t="s">
        <v>301</v>
      </c>
      <c r="E39" s="48" t="s">
        <v>309</v>
      </c>
    </row>
    <row r="40" spans="1:7" s="8" customFormat="1" ht="17.45" customHeight="1" thickBot="1" x14ac:dyDescent="0.3">
      <c r="A40" s="74" t="s">
        <v>436</v>
      </c>
      <c r="B40" s="49">
        <f>INDEX('Pay 2025'!$T$7:$T$154,MATCH($C$4,'Pay 2025'!$B$7:$B$154,0))</f>
        <v>408071668</v>
      </c>
      <c r="C40" s="49">
        <f>INDEX('Pay 2025'!$U$7:$U$154,MATCH($C$4,'Pay 2025'!$B$7:$B$154,0))</f>
        <v>1969912378</v>
      </c>
      <c r="D40" s="49">
        <f>INDEX('Pay 2025'!$V$7:$V$154,MATCH($C$4,'Pay 2025'!$B$7:$B$154,0))</f>
        <v>1077890121</v>
      </c>
      <c r="E40" s="50">
        <f>SUM(B40:D40)</f>
        <v>3455874167</v>
      </c>
    </row>
    <row r="41" spans="1:7" s="8" customFormat="1" ht="17.45" customHeight="1" thickBot="1" x14ac:dyDescent="0.3">
      <c r="A41" s="75" t="s">
        <v>437</v>
      </c>
      <c r="B41" s="245"/>
      <c r="C41" s="245"/>
      <c r="D41" s="245"/>
      <c r="E41" s="51"/>
    </row>
    <row r="42" spans="1:7" s="8" customFormat="1" ht="17.45" customHeight="1" x14ac:dyDescent="0.25">
      <c r="A42" s="74" t="s">
        <v>438</v>
      </c>
      <c r="B42" s="52">
        <f>ROUND(B40*(1+B41),0)</f>
        <v>408071668</v>
      </c>
      <c r="C42" s="52">
        <f t="shared" ref="C42:D42" si="0">ROUND(C40*(1+C41),0)</f>
        <v>1969912378</v>
      </c>
      <c r="D42" s="52">
        <f t="shared" si="0"/>
        <v>1077890121</v>
      </c>
      <c r="E42" s="53">
        <f>SUM(B42:D42)</f>
        <v>3455874167</v>
      </c>
    </row>
    <row r="43" spans="1:7" s="8" customFormat="1" ht="17.45" customHeight="1" x14ac:dyDescent="0.25">
      <c r="A43" s="74" t="s">
        <v>439</v>
      </c>
      <c r="B43" s="54">
        <v>1.125</v>
      </c>
      <c r="C43" s="54">
        <v>2.5179999999999998</v>
      </c>
      <c r="D43" s="54">
        <v>5.2110000000000003</v>
      </c>
      <c r="E43" s="55"/>
    </row>
    <row r="44" spans="1:7" s="8" customFormat="1" ht="17.45" customHeight="1" thickBot="1" x14ac:dyDescent="0.3">
      <c r="A44" s="76" t="s">
        <v>440</v>
      </c>
      <c r="B44" s="56">
        <f>ROUND(((B42/1000)*B43)/2,0)</f>
        <v>229540</v>
      </c>
      <c r="C44" s="56">
        <f t="shared" ref="C44:D44" si="1">ROUND(((C42/1000)*C43)/2,0)</f>
        <v>2480120</v>
      </c>
      <c r="D44" s="56">
        <f t="shared" si="1"/>
        <v>2808443</v>
      </c>
      <c r="E44" s="57">
        <f>SUM(B44:D44)</f>
        <v>5518103</v>
      </c>
    </row>
    <row r="45" spans="1:7" s="8" customFormat="1" ht="12" customHeight="1" thickTop="1" x14ac:dyDescent="0.2">
      <c r="A45" s="58"/>
      <c r="D45" s="59" t="s">
        <v>313</v>
      </c>
    </row>
    <row r="46" spans="1:7" s="8" customFormat="1" ht="12" customHeight="1" x14ac:dyDescent="0.2">
      <c r="A46" s="58"/>
      <c r="D46" s="59" t="s">
        <v>374</v>
      </c>
    </row>
    <row r="47" spans="1:7" ht="22.15" customHeight="1" x14ac:dyDescent="0.35">
      <c r="A47" s="249" t="s">
        <v>394</v>
      </c>
      <c r="B47" s="250">
        <f>B36</f>
        <v>0</v>
      </c>
      <c r="D47" s="14"/>
    </row>
    <row r="48" spans="1:7" ht="15" customHeight="1" thickBot="1" x14ac:dyDescent="0.25">
      <c r="A48" s="60"/>
      <c r="B48" s="246" t="s">
        <v>7</v>
      </c>
      <c r="D48" s="14"/>
    </row>
    <row r="49" spans="1:4" ht="17.45" customHeight="1" x14ac:dyDescent="0.3">
      <c r="A49" s="61" t="s">
        <v>441</v>
      </c>
      <c r="B49" s="143">
        <f>INDEX('Pay 2025'!$W$7:$W$154,MATCH($C$4,'Pay 2025'!$B$7:$B$154,0))</f>
        <v>5870840</v>
      </c>
      <c r="D49" s="14"/>
    </row>
    <row r="50" spans="1:4" ht="17.45" customHeight="1" thickBot="1" x14ac:dyDescent="0.35">
      <c r="A50" s="62" t="s">
        <v>442</v>
      </c>
      <c r="B50" s="144">
        <f>E44</f>
        <v>5518103</v>
      </c>
      <c r="D50" s="14"/>
    </row>
    <row r="51" spans="1:4" ht="17.45" customHeight="1" x14ac:dyDescent="0.3">
      <c r="A51" s="138" t="s">
        <v>330</v>
      </c>
      <c r="B51" s="145">
        <f>B49+B50</f>
        <v>11388943</v>
      </c>
    </row>
    <row r="52" spans="1:4" ht="17.45" customHeight="1" x14ac:dyDescent="0.3">
      <c r="A52" s="139" t="s">
        <v>393</v>
      </c>
      <c r="B52" s="146">
        <f>INDEX(OtherRevenueLocalEffortFY26!$K$5:$K$152,MATCH($C$4,OtherRevenueLocalEffortFY26!$B$5:$B$152,0))</f>
        <v>1267310.1099999999</v>
      </c>
    </row>
    <row r="53" spans="1:4" ht="22.15" customHeight="1" x14ac:dyDescent="0.35">
      <c r="A53" s="251" t="s">
        <v>443</v>
      </c>
      <c r="B53" s="252">
        <f>IF((B47-B51-B52)&lt;0,0,B47-B51-B52)</f>
        <v>0</v>
      </c>
    </row>
    <row r="54" spans="1:4" hidden="1" x14ac:dyDescent="0.2"/>
  </sheetData>
  <sheetProtection algorithmName="SHA-512" hashValue="uutseyOJ73m+h1tIeioePCpcf2UU3lxXZNAg0NP5D0VgtILu8vwkafUpA/YNfDMyNHF9ziTWNP0DeHDz0LcVDQ==" saltValue="uRBrBEcYGoRgpNpVTagFFg==" spinCount="100000" sheet="1" objects="1" scenarios="1"/>
  <mergeCells count="1">
    <mergeCell ref="D24:G24"/>
  </mergeCells>
  <pageMargins left="0.45" right="0" top="0.3" bottom="0.17" header="0.3" footer="0.17"/>
  <pageSetup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8AA279-8C7C-4918-9A8F-E9172823EDBD}">
          <x14:formula1>
            <xm:f>DistrictList!$B$2:$B$148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4D936-8D91-4E74-A46B-B8E2E290A5C6}">
  <sheetPr codeName="Sheet2"/>
  <dimension ref="A1:J30"/>
  <sheetViews>
    <sheetView zoomScaleNormal="100" workbookViewId="0">
      <pane ySplit="3" topLeftCell="A4" activePane="bottomLeft" state="frozen"/>
      <selection pane="bottomLeft" activeCell="B20" sqref="B20"/>
    </sheetView>
  </sheetViews>
  <sheetFormatPr defaultColWidth="9.140625" defaultRowHeight="15" x14ac:dyDescent="0.25"/>
  <cols>
    <col min="1" max="1" width="2.7109375" style="118" customWidth="1"/>
    <col min="2" max="2" width="41.7109375" style="118" customWidth="1"/>
    <col min="3" max="5" width="14.5703125" style="118" customWidth="1"/>
    <col min="6" max="6" width="1.5703125" style="118" customWidth="1"/>
    <col min="7" max="7" width="34.28515625" style="129" customWidth="1"/>
    <col min="8" max="8" width="6.7109375" style="118" customWidth="1"/>
    <col min="9" max="16384" width="9.140625" style="118"/>
  </cols>
  <sheetData>
    <row r="1" spans="1:10" s="113" customFormat="1" ht="30.75" customHeight="1" x14ac:dyDescent="0.35">
      <c r="A1" s="112" t="s">
        <v>392</v>
      </c>
      <c r="B1" s="162"/>
      <c r="C1" s="162"/>
      <c r="D1" s="162"/>
      <c r="E1" s="163"/>
      <c r="F1" s="164"/>
      <c r="G1" s="165"/>
      <c r="H1" s="163"/>
    </row>
    <row r="2" spans="1:10" s="113" customFormat="1" ht="21" x14ac:dyDescent="0.35">
      <c r="A2" s="114" t="str">
        <f>'GSA Estimate Calculator'!A4</f>
        <v>Aberdeen 06-1</v>
      </c>
      <c r="B2" s="166"/>
      <c r="C2" s="164">
        <f>'GSA Estimate Calculator'!C4</f>
        <v>6001</v>
      </c>
      <c r="D2" s="166"/>
      <c r="E2" s="166"/>
      <c r="F2" s="166"/>
      <c r="G2" s="167"/>
      <c r="H2" s="163"/>
    </row>
    <row r="3" spans="1:10" ht="15.75" x14ac:dyDescent="0.25">
      <c r="A3" s="115"/>
      <c r="B3" s="115"/>
      <c r="C3" s="147" t="s">
        <v>431</v>
      </c>
      <c r="D3" s="147" t="s">
        <v>444</v>
      </c>
      <c r="E3" s="155" t="s">
        <v>333</v>
      </c>
      <c r="F3" s="116"/>
      <c r="G3" s="148" t="s">
        <v>332</v>
      </c>
      <c r="H3" s="117"/>
    </row>
    <row r="4" spans="1:10" ht="15.75" x14ac:dyDescent="0.25">
      <c r="A4" s="168" t="s">
        <v>334</v>
      </c>
      <c r="B4" s="149"/>
      <c r="C4" s="149"/>
      <c r="D4" s="149"/>
      <c r="E4" s="149"/>
      <c r="F4" s="149"/>
      <c r="G4" s="150"/>
      <c r="H4" s="150"/>
    </row>
    <row r="5" spans="1:10" s="14" customFormat="1" ht="15.75" customHeight="1" x14ac:dyDescent="0.25">
      <c r="A5" s="6"/>
      <c r="B5" s="115" t="s">
        <v>335</v>
      </c>
      <c r="C5" s="171">
        <f>INDEX('FY2025'!$E$6:$E$152,MATCH($C$2,'FY2025'!$B$6:$B$152,0))</f>
        <v>4261.4799999999996</v>
      </c>
      <c r="D5" s="171">
        <f>'GSA Estimate Calculator'!B7+'GSA Estimate Calculator'!B33</f>
        <v>0</v>
      </c>
      <c r="E5" s="172">
        <f>D5-C5</f>
        <v>-4261.4799999999996</v>
      </c>
      <c r="F5" s="119"/>
      <c r="G5" s="134"/>
      <c r="H5" s="8"/>
    </row>
    <row r="6" spans="1:10" s="14" customFormat="1" ht="15.75" customHeight="1" x14ac:dyDescent="0.25">
      <c r="A6" s="6"/>
      <c r="B6" s="115" t="s">
        <v>336</v>
      </c>
      <c r="C6" s="173">
        <f>INDEX('FY2025'!$H$6:$H$152,MATCH($C$2,'FY2025'!$B$6:$B$152,0))</f>
        <v>15</v>
      </c>
      <c r="D6" s="173">
        <f>'GSA Estimate Calculator'!B9</f>
        <v>12</v>
      </c>
      <c r="E6" s="174"/>
      <c r="F6" s="120"/>
      <c r="G6" s="134"/>
      <c r="H6" s="8"/>
    </row>
    <row r="7" spans="1:10" s="14" customFormat="1" ht="15.75" customHeight="1" x14ac:dyDescent="0.25">
      <c r="A7" s="121"/>
      <c r="B7" s="170" t="s">
        <v>365</v>
      </c>
      <c r="C7" s="175">
        <f>IFERROR(C5/C6,0)</f>
        <v>284.09866666666665</v>
      </c>
      <c r="D7" s="175">
        <f>+D5/D6</f>
        <v>0</v>
      </c>
      <c r="E7" s="176">
        <f>D7-C7</f>
        <v>-284.09866666666665</v>
      </c>
      <c r="F7" s="130"/>
      <c r="G7" s="161" t="s">
        <v>364</v>
      </c>
      <c r="H7" s="132"/>
    </row>
    <row r="8" spans="1:10" s="14" customFormat="1" ht="15.75" customHeight="1" x14ac:dyDescent="0.25">
      <c r="A8" s="6"/>
      <c r="B8" s="115" t="s">
        <v>337</v>
      </c>
      <c r="C8" s="173">
        <f>INDEX('FY2025'!$G$6:$G$152,MATCH($C$2,'FY2025'!$B$6:$B$152,0))</f>
        <v>191</v>
      </c>
      <c r="D8" s="173">
        <f>'GSA Estimate Calculator'!B13</f>
        <v>0</v>
      </c>
      <c r="E8" s="174">
        <f>D8-C8</f>
        <v>-191</v>
      </c>
      <c r="F8" s="120"/>
      <c r="G8" s="194"/>
      <c r="H8" s="8"/>
    </row>
    <row r="9" spans="1:10" s="14" customFormat="1" ht="15.75" customHeight="1" x14ac:dyDescent="0.25">
      <c r="A9" s="6"/>
      <c r="B9" s="115" t="s">
        <v>338</v>
      </c>
      <c r="C9" s="173">
        <f>INDEX('FY2025'!$J$6:$J$152,MATCH($C$2,'FY2025'!$B$6:$B$152,0))</f>
        <v>3.1833333333333331</v>
      </c>
      <c r="D9" s="173">
        <f>'GSA Estimate Calculator'!B16</f>
        <v>0</v>
      </c>
      <c r="E9" s="174"/>
      <c r="F9" s="120"/>
      <c r="G9" s="195"/>
      <c r="H9" s="8"/>
    </row>
    <row r="10" spans="1:10" ht="24" customHeight="1" x14ac:dyDescent="0.25">
      <c r="A10" s="169" t="s">
        <v>366</v>
      </c>
      <c r="B10" s="156"/>
      <c r="C10" s="157">
        <f>C7+C9</f>
        <v>287.28199999999998</v>
      </c>
      <c r="D10" s="157">
        <f>+D7+D9</f>
        <v>0</v>
      </c>
      <c r="E10" s="151">
        <f>D10-C10</f>
        <v>-287.28199999999998</v>
      </c>
      <c r="F10" s="130"/>
      <c r="G10" s="161" t="s">
        <v>382</v>
      </c>
      <c r="H10" s="133"/>
      <c r="I10" s="122"/>
      <c r="J10" s="122"/>
    </row>
    <row r="11" spans="1:10" ht="12" customHeight="1" x14ac:dyDescent="0.25">
      <c r="A11" s="115"/>
      <c r="B11" s="115"/>
      <c r="C11" s="115"/>
      <c r="D11" s="115"/>
      <c r="E11" s="152"/>
      <c r="F11" s="123"/>
      <c r="G11" s="195"/>
      <c r="H11" s="135"/>
    </row>
    <row r="12" spans="1:10" ht="15.75" x14ac:dyDescent="0.25">
      <c r="A12" s="168" t="s">
        <v>342</v>
      </c>
      <c r="B12" s="149"/>
      <c r="C12" s="149"/>
      <c r="D12" s="149"/>
      <c r="E12" s="149"/>
      <c r="F12" s="149"/>
      <c r="G12" s="196"/>
      <c r="H12" s="160"/>
    </row>
    <row r="13" spans="1:10" s="14" customFormat="1" ht="15.75" customHeight="1" x14ac:dyDescent="0.25">
      <c r="A13" s="177"/>
      <c r="B13" s="177" t="s">
        <v>339</v>
      </c>
      <c r="C13" s="178">
        <f>'FY2025'!L4</f>
        <v>62045.62</v>
      </c>
      <c r="D13" s="178">
        <f>'GSA Estimate Calculator'!B21</f>
        <v>62821.19</v>
      </c>
      <c r="E13" s="179"/>
      <c r="F13" s="124"/>
      <c r="G13" s="197"/>
      <c r="H13" s="8"/>
    </row>
    <row r="14" spans="1:10" s="14" customFormat="1" ht="15.75" customHeight="1" x14ac:dyDescent="0.25">
      <c r="A14" s="115"/>
      <c r="B14" s="115" t="s">
        <v>340</v>
      </c>
      <c r="C14" s="180">
        <v>0.28999999999999998</v>
      </c>
      <c r="D14" s="180">
        <v>0.28999999999999998</v>
      </c>
      <c r="E14" s="181"/>
      <c r="F14" s="125"/>
      <c r="G14" s="195"/>
      <c r="H14" s="8"/>
    </row>
    <row r="15" spans="1:10" s="14" customFormat="1" ht="15.75" customHeight="1" x14ac:dyDescent="0.25">
      <c r="A15" s="158" t="s">
        <v>375</v>
      </c>
      <c r="B15" s="158"/>
      <c r="C15" s="182">
        <f>+C13*(1+C14)</f>
        <v>80038.849800000011</v>
      </c>
      <c r="D15" s="182">
        <f>D13*(1+D14)</f>
        <v>81039.335100000011</v>
      </c>
      <c r="E15" s="176">
        <f>D15-C15</f>
        <v>1000.4853000000003</v>
      </c>
      <c r="F15" s="130"/>
      <c r="G15" s="161" t="s">
        <v>373</v>
      </c>
      <c r="H15" s="132"/>
    </row>
    <row r="16" spans="1:10" s="14" customFormat="1" ht="15.75" customHeight="1" x14ac:dyDescent="0.25">
      <c r="A16" s="115"/>
      <c r="B16" s="115" t="s">
        <v>367</v>
      </c>
      <c r="C16" s="183"/>
      <c r="D16" s="183"/>
      <c r="E16" s="184"/>
      <c r="F16" s="126"/>
      <c r="G16" s="195"/>
      <c r="H16" s="8"/>
    </row>
    <row r="17" spans="1:8" ht="24" customHeight="1" x14ac:dyDescent="0.25">
      <c r="A17" s="169" t="s">
        <v>341</v>
      </c>
      <c r="B17" s="158"/>
      <c r="C17" s="159">
        <f>+C15*C10</f>
        <v>22993720.848243602</v>
      </c>
      <c r="D17" s="159">
        <f>+D15*D10</f>
        <v>0</v>
      </c>
      <c r="E17" s="154">
        <f>D17-C17</f>
        <v>-22993720.848243602</v>
      </c>
      <c r="F17" s="130"/>
      <c r="G17" s="161" t="s">
        <v>383</v>
      </c>
      <c r="H17" s="136"/>
    </row>
    <row r="18" spans="1:8" ht="12" customHeight="1" x14ac:dyDescent="0.25">
      <c r="A18" s="115"/>
      <c r="B18" s="115"/>
      <c r="C18" s="115"/>
      <c r="D18" s="115"/>
      <c r="E18" s="152"/>
      <c r="F18" s="123"/>
      <c r="G18" s="195"/>
      <c r="H18" s="135"/>
    </row>
    <row r="19" spans="1:8" ht="15.75" x14ac:dyDescent="0.25">
      <c r="A19" s="168" t="s">
        <v>345</v>
      </c>
      <c r="B19" s="149"/>
      <c r="C19" s="149"/>
      <c r="D19" s="149"/>
      <c r="E19" s="149"/>
      <c r="F19" s="149"/>
      <c r="G19" s="196"/>
      <c r="H19" s="160"/>
    </row>
    <row r="20" spans="1:8" s="14" customFormat="1" ht="15.75" customHeight="1" x14ac:dyDescent="0.25">
      <c r="A20" s="185"/>
      <c r="B20" s="115" t="s">
        <v>343</v>
      </c>
      <c r="C20" s="186">
        <v>0.38779999999999998</v>
      </c>
      <c r="D20" s="186">
        <f>'GSA Estimate Calculator'!B27</f>
        <v>0.38779999999999998</v>
      </c>
      <c r="E20" s="187"/>
      <c r="F20" s="127"/>
      <c r="G20" s="195"/>
      <c r="H20" s="8"/>
    </row>
    <row r="21" spans="1:8" ht="24" customHeight="1" x14ac:dyDescent="0.25">
      <c r="A21" s="169" t="s">
        <v>344</v>
      </c>
      <c r="B21" s="188"/>
      <c r="C21" s="189">
        <f>+C17*C20</f>
        <v>8916964.9449488688</v>
      </c>
      <c r="D21" s="189">
        <f>+D17*D20</f>
        <v>0</v>
      </c>
      <c r="E21" s="190">
        <f>D21-C21</f>
        <v>-8916964.9449488688</v>
      </c>
      <c r="F21" s="130"/>
      <c r="G21" s="161" t="s">
        <v>368</v>
      </c>
      <c r="H21" s="136"/>
    </row>
    <row r="22" spans="1:8" ht="12" customHeight="1" x14ac:dyDescent="0.25">
      <c r="A22" s="115"/>
      <c r="B22" s="115"/>
      <c r="C22" s="115"/>
      <c r="D22" s="115"/>
      <c r="E22" s="152"/>
      <c r="F22" s="123"/>
      <c r="G22" s="195"/>
      <c r="H22" s="135"/>
    </row>
    <row r="23" spans="1:8" ht="24" customHeight="1" x14ac:dyDescent="0.3">
      <c r="A23" s="198" t="s">
        <v>371</v>
      </c>
      <c r="B23" s="188"/>
      <c r="C23" s="189">
        <f>C17+C21</f>
        <v>31910685.793192469</v>
      </c>
      <c r="D23" s="189">
        <f>D17+D21</f>
        <v>0</v>
      </c>
      <c r="E23" s="191">
        <f>D23-C23</f>
        <v>-31910685.793192469</v>
      </c>
      <c r="F23" s="130"/>
      <c r="G23" s="161" t="s">
        <v>369</v>
      </c>
      <c r="H23" s="136"/>
    </row>
    <row r="24" spans="1:8" ht="12" customHeight="1" x14ac:dyDescent="0.25">
      <c r="A24" s="115"/>
      <c r="B24" s="115"/>
      <c r="C24" s="115"/>
      <c r="D24" s="115"/>
      <c r="E24" s="152"/>
      <c r="F24" s="123"/>
      <c r="G24" s="195"/>
      <c r="H24" s="135"/>
    </row>
    <row r="25" spans="1:8" ht="15.75" x14ac:dyDescent="0.25">
      <c r="A25" s="168" t="s">
        <v>346</v>
      </c>
      <c r="B25" s="149"/>
      <c r="C25" s="149"/>
      <c r="D25" s="149"/>
      <c r="E25" s="149"/>
      <c r="F25" s="149"/>
      <c r="G25" s="196"/>
      <c r="H25" s="160"/>
    </row>
    <row r="26" spans="1:8" s="14" customFormat="1" ht="16.5" customHeight="1" x14ac:dyDescent="0.25">
      <c r="A26" s="115" t="s">
        <v>347</v>
      </c>
      <c r="B26" s="115"/>
      <c r="C26" s="115"/>
      <c r="D26" s="115"/>
      <c r="E26" s="152"/>
      <c r="F26" s="126"/>
      <c r="G26" s="195"/>
      <c r="H26" s="8"/>
    </row>
    <row r="27" spans="1:8" s="14" customFormat="1" ht="16.5" customHeight="1" x14ac:dyDescent="0.25">
      <c r="A27" s="115"/>
      <c r="B27" s="115" t="s">
        <v>348</v>
      </c>
      <c r="C27" s="137">
        <f>INDEX('FY2025'!$S$6:$S$152,MATCH($C$2,'FY2025'!$B$6:$B$152,0))</f>
        <v>11751603</v>
      </c>
      <c r="D27" s="137">
        <f>'GSA Estimate Calculator'!B49+'GSA Estimate Calculator'!B50</f>
        <v>11388943</v>
      </c>
      <c r="E27" s="192">
        <f>D27-C27</f>
        <v>-362660</v>
      </c>
      <c r="F27" s="128"/>
      <c r="G27" s="195"/>
      <c r="H27" s="8"/>
    </row>
    <row r="28" spans="1:8" s="14" customFormat="1" ht="16.5" customHeight="1" x14ac:dyDescent="0.25">
      <c r="A28" s="177"/>
      <c r="B28" s="177" t="s">
        <v>424</v>
      </c>
      <c r="C28" s="199">
        <f>INDEX('FY2025'!$T$6:$T$152,MATCH($C$2,'FY2025'!$B$6:$B$152,0))</f>
        <v>1381919.67</v>
      </c>
      <c r="D28" s="199">
        <f>'GSA Estimate Calculator'!B52</f>
        <v>1267310.1099999999</v>
      </c>
      <c r="E28" s="200">
        <f>D28-C28</f>
        <v>-114609.56000000006</v>
      </c>
      <c r="F28" s="201"/>
      <c r="G28" s="201" t="s">
        <v>425</v>
      </c>
      <c r="H28" s="202"/>
    </row>
    <row r="29" spans="1:8" s="14" customFormat="1" ht="12" customHeight="1" x14ac:dyDescent="0.2">
      <c r="A29" s="6"/>
      <c r="B29" s="6"/>
      <c r="C29" s="6"/>
      <c r="D29" s="6"/>
      <c r="E29" s="153"/>
      <c r="F29" s="126"/>
      <c r="G29" s="195"/>
      <c r="H29" s="8"/>
    </row>
    <row r="30" spans="1:8" ht="26.25" customHeight="1" x14ac:dyDescent="0.3">
      <c r="A30" s="198" t="s">
        <v>372</v>
      </c>
      <c r="B30" s="188"/>
      <c r="C30" s="193">
        <f>IF((C23-C27-C28)&lt;0,0,ROUND(C23-C27-C28,0))</f>
        <v>18777163</v>
      </c>
      <c r="D30" s="193">
        <f>ROUND(D23-D27-D28,0)</f>
        <v>-12656253</v>
      </c>
      <c r="E30" s="191">
        <f>D30-C30</f>
        <v>-31433416</v>
      </c>
      <c r="F30" s="130"/>
      <c r="G30" s="131" t="s">
        <v>426</v>
      </c>
      <c r="H30" s="136"/>
    </row>
  </sheetData>
  <sheetProtection algorithmName="SHA-512" hashValue="0heGvDG6g8kAc1fXBgI9VmMF6yZyHYhiKRjq4u/Q1cnOkmycfxyoMoJUvPAsvL2T1yaYnmLKqipmo4DIvBDyUA==" saltValue="p6NYKJNPSp7NOmEepXv6MA==" spinCount="100000" sheet="1" objects="1" scenarios="1"/>
  <pageMargins left="0.4" right="0.17" top="0.5" bottom="0.17" header="0.17" footer="0.17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DA61-AC2C-42DF-9845-D78E95C9A2FE}">
  <sheetPr codeName="Sheet4">
    <pageSetUpPr fitToPage="1"/>
  </sheetPr>
  <dimension ref="A1:L159"/>
  <sheetViews>
    <sheetView showGridLines="0" zoomScale="93" zoomScaleNormal="93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ColWidth="9.140625" defaultRowHeight="15" x14ac:dyDescent="0.25"/>
  <cols>
    <col min="1" max="1" width="8.7109375" style="204" bestFit="1" customWidth="1"/>
    <col min="2" max="2" width="29.7109375" style="204" bestFit="1" customWidth="1"/>
    <col min="3" max="3" width="10.28515625" style="205" bestFit="1" customWidth="1"/>
    <col min="4" max="6" width="10.7109375" style="205" bestFit="1" customWidth="1"/>
    <col min="7" max="7" width="10.28515625" style="205" bestFit="1" customWidth="1"/>
    <col min="8" max="8" width="10.7109375" style="204" bestFit="1" customWidth="1"/>
    <col min="9" max="9" width="10.28515625" style="204" bestFit="1" customWidth="1"/>
    <col min="10" max="10" width="10.7109375" style="204" bestFit="1" customWidth="1"/>
    <col min="11" max="12" width="10.28515625" style="204" bestFit="1" customWidth="1"/>
    <col min="13" max="16384" width="9.140625" style="204"/>
  </cols>
  <sheetData>
    <row r="1" spans="1:12" ht="18.75" x14ac:dyDescent="0.3">
      <c r="A1" s="210" t="s">
        <v>308</v>
      </c>
    </row>
    <row r="2" spans="1:12" s="209" customFormat="1" ht="60.75" thickBot="1" x14ac:dyDescent="0.3">
      <c r="A2" s="206" t="s">
        <v>377</v>
      </c>
      <c r="B2" s="207" t="s">
        <v>142</v>
      </c>
      <c r="C2" s="208" t="s">
        <v>307</v>
      </c>
      <c r="D2" s="208" t="s">
        <v>306</v>
      </c>
      <c r="E2" s="208" t="s">
        <v>305</v>
      </c>
      <c r="F2" s="208" t="s">
        <v>299</v>
      </c>
      <c r="G2" s="208" t="s">
        <v>314</v>
      </c>
      <c r="H2" s="208" t="s">
        <v>376</v>
      </c>
      <c r="I2" s="208" t="s">
        <v>385</v>
      </c>
      <c r="J2" s="208" t="s">
        <v>395</v>
      </c>
      <c r="K2" s="208" t="s">
        <v>427</v>
      </c>
      <c r="L2" s="208" t="s">
        <v>445</v>
      </c>
    </row>
    <row r="3" spans="1:12" s="214" customFormat="1" ht="13.5" thickBot="1" x14ac:dyDescent="0.25">
      <c r="A3" s="211">
        <v>6001</v>
      </c>
      <c r="B3" s="212" t="s">
        <v>143</v>
      </c>
      <c r="C3" s="213">
        <v>4470.79</v>
      </c>
      <c r="D3" s="213">
        <v>4550.58</v>
      </c>
      <c r="E3" s="213">
        <v>4519.12</v>
      </c>
      <c r="F3" s="213">
        <v>4469.9399999999996</v>
      </c>
      <c r="G3" s="213">
        <v>4489.3599999999997</v>
      </c>
      <c r="H3" s="213">
        <v>4491.13</v>
      </c>
      <c r="I3" s="213">
        <v>4428.5200000000004</v>
      </c>
      <c r="J3" s="213">
        <v>4349.66</v>
      </c>
      <c r="K3" s="213">
        <v>4292.53</v>
      </c>
      <c r="L3" s="213">
        <v>4261.4799999999996</v>
      </c>
    </row>
    <row r="4" spans="1:12" s="214" customFormat="1" ht="13.5" thickBot="1" x14ac:dyDescent="0.25">
      <c r="A4" s="211">
        <v>58003</v>
      </c>
      <c r="B4" s="212" t="s">
        <v>144</v>
      </c>
      <c r="C4" s="213">
        <v>262.10000000000002</v>
      </c>
      <c r="D4" s="213">
        <v>251</v>
      </c>
      <c r="E4" s="213">
        <v>251.13</v>
      </c>
      <c r="F4" s="213">
        <v>266.01</v>
      </c>
      <c r="G4" s="213">
        <v>268.01</v>
      </c>
      <c r="H4" s="213">
        <v>265</v>
      </c>
      <c r="I4" s="213">
        <v>235</v>
      </c>
      <c r="J4" s="213">
        <v>226.03</v>
      </c>
      <c r="K4" s="213">
        <v>228.01</v>
      </c>
      <c r="L4" s="213">
        <v>215.96</v>
      </c>
    </row>
    <row r="5" spans="1:12" s="214" customFormat="1" ht="13.5" thickBot="1" x14ac:dyDescent="0.25">
      <c r="A5" s="211">
        <v>61001</v>
      </c>
      <c r="B5" s="212" t="s">
        <v>145</v>
      </c>
      <c r="C5" s="213">
        <v>279.63</v>
      </c>
      <c r="D5" s="213">
        <v>299.52</v>
      </c>
      <c r="E5" s="213">
        <v>310.27</v>
      </c>
      <c r="F5" s="213">
        <v>338.39</v>
      </c>
      <c r="G5" s="213">
        <v>342.23</v>
      </c>
      <c r="H5" s="213">
        <v>341.24</v>
      </c>
      <c r="I5" s="213">
        <v>336.5</v>
      </c>
      <c r="J5" s="213">
        <v>333</v>
      </c>
      <c r="K5" s="213">
        <v>330.15</v>
      </c>
      <c r="L5" s="213">
        <v>319</v>
      </c>
    </row>
    <row r="6" spans="1:12" s="214" customFormat="1" ht="13.5" thickBot="1" x14ac:dyDescent="0.25">
      <c r="A6" s="211">
        <v>11001</v>
      </c>
      <c r="B6" s="212" t="s">
        <v>146</v>
      </c>
      <c r="C6" s="213">
        <v>300</v>
      </c>
      <c r="D6" s="213">
        <v>320</v>
      </c>
      <c r="E6" s="213">
        <v>317</v>
      </c>
      <c r="F6" s="213">
        <v>316</v>
      </c>
      <c r="G6" s="213">
        <v>313</v>
      </c>
      <c r="H6" s="213">
        <v>325</v>
      </c>
      <c r="I6" s="213">
        <v>318</v>
      </c>
      <c r="J6" s="213">
        <v>306</v>
      </c>
      <c r="K6" s="213">
        <v>291</v>
      </c>
      <c r="L6" s="213">
        <v>289</v>
      </c>
    </row>
    <row r="7" spans="1:12" s="214" customFormat="1" ht="13.5" thickBot="1" x14ac:dyDescent="0.25">
      <c r="A7" s="211">
        <v>38001</v>
      </c>
      <c r="B7" s="212" t="s">
        <v>147</v>
      </c>
      <c r="C7" s="213">
        <v>266</v>
      </c>
      <c r="D7" s="213">
        <v>275</v>
      </c>
      <c r="E7" s="213">
        <v>259</v>
      </c>
      <c r="F7" s="213">
        <v>256</v>
      </c>
      <c r="G7" s="213">
        <v>257</v>
      </c>
      <c r="H7" s="213">
        <v>259</v>
      </c>
      <c r="I7" s="213">
        <v>276</v>
      </c>
      <c r="J7" s="213">
        <v>283</v>
      </c>
      <c r="K7" s="213">
        <v>292.43</v>
      </c>
      <c r="L7" s="213">
        <v>277</v>
      </c>
    </row>
    <row r="8" spans="1:12" s="214" customFormat="1" ht="13.5" thickBot="1" x14ac:dyDescent="0.25">
      <c r="A8" s="211">
        <v>21001</v>
      </c>
      <c r="B8" s="212" t="s">
        <v>148</v>
      </c>
      <c r="C8" s="213">
        <v>170</v>
      </c>
      <c r="D8" s="213">
        <v>173</v>
      </c>
      <c r="E8" s="213">
        <v>168</v>
      </c>
      <c r="F8" s="213">
        <v>179</v>
      </c>
      <c r="G8" s="213">
        <v>178</v>
      </c>
      <c r="H8" s="213">
        <v>180</v>
      </c>
      <c r="I8" s="213">
        <v>184.25</v>
      </c>
      <c r="J8" s="213">
        <v>187.8</v>
      </c>
      <c r="K8" s="213">
        <v>196.38</v>
      </c>
      <c r="L8" s="213">
        <v>202</v>
      </c>
    </row>
    <row r="9" spans="1:12" s="214" customFormat="1" ht="13.5" thickBot="1" x14ac:dyDescent="0.25">
      <c r="A9" s="211">
        <v>4001</v>
      </c>
      <c r="B9" s="212" t="s">
        <v>149</v>
      </c>
      <c r="C9" s="213">
        <v>238</v>
      </c>
      <c r="D9" s="213">
        <v>256</v>
      </c>
      <c r="E9" s="213">
        <v>233</v>
      </c>
      <c r="F9" s="213">
        <v>232</v>
      </c>
      <c r="G9" s="213">
        <v>225</v>
      </c>
      <c r="H9" s="213">
        <v>233.25</v>
      </c>
      <c r="I9" s="213">
        <v>231.53</v>
      </c>
      <c r="J9" s="213">
        <v>213.2</v>
      </c>
      <c r="K9" s="213">
        <v>213</v>
      </c>
      <c r="L9" s="213">
        <v>215.38</v>
      </c>
    </row>
    <row r="10" spans="1:12" s="214" customFormat="1" ht="13.5" thickBot="1" x14ac:dyDescent="0.25">
      <c r="A10" s="211">
        <v>49001</v>
      </c>
      <c r="B10" s="212" t="s">
        <v>150</v>
      </c>
      <c r="C10" s="213">
        <v>477</v>
      </c>
      <c r="D10" s="213">
        <v>498</v>
      </c>
      <c r="E10" s="213">
        <v>491</v>
      </c>
      <c r="F10" s="213">
        <v>479</v>
      </c>
      <c r="G10" s="213">
        <v>498</v>
      </c>
      <c r="H10" s="213">
        <v>522</v>
      </c>
      <c r="I10" s="213">
        <v>561</v>
      </c>
      <c r="J10" s="213">
        <v>578.25</v>
      </c>
      <c r="K10" s="213">
        <v>552.25</v>
      </c>
      <c r="L10" s="213">
        <v>546.25</v>
      </c>
    </row>
    <row r="11" spans="1:12" s="214" customFormat="1" ht="13.5" thickBot="1" x14ac:dyDescent="0.25">
      <c r="A11" s="211">
        <v>9001</v>
      </c>
      <c r="B11" s="212" t="s">
        <v>151</v>
      </c>
      <c r="C11" s="213">
        <v>1369</v>
      </c>
      <c r="D11" s="213">
        <v>1373.92</v>
      </c>
      <c r="E11" s="213">
        <v>1385.21</v>
      </c>
      <c r="F11" s="213">
        <v>1361.33</v>
      </c>
      <c r="G11" s="213">
        <v>1379.24</v>
      </c>
      <c r="H11" s="213">
        <v>1369.9</v>
      </c>
      <c r="I11" s="213">
        <v>1343.16</v>
      </c>
      <c r="J11" s="213">
        <v>1332.8</v>
      </c>
      <c r="K11" s="213">
        <v>1302.68</v>
      </c>
      <c r="L11" s="213">
        <v>1242.79</v>
      </c>
    </row>
    <row r="12" spans="1:12" s="214" customFormat="1" ht="13.5" thickBot="1" x14ac:dyDescent="0.25">
      <c r="A12" s="211">
        <v>3001</v>
      </c>
      <c r="B12" s="212" t="s">
        <v>152</v>
      </c>
      <c r="C12" s="213">
        <v>470</v>
      </c>
      <c r="D12" s="213">
        <v>480</v>
      </c>
      <c r="E12" s="213">
        <v>481</v>
      </c>
      <c r="F12" s="213">
        <v>442</v>
      </c>
      <c r="G12" s="213">
        <v>513</v>
      </c>
      <c r="H12" s="213">
        <v>488</v>
      </c>
      <c r="I12" s="213">
        <v>501</v>
      </c>
      <c r="J12" s="213">
        <v>467</v>
      </c>
      <c r="K12" s="213">
        <v>460.14</v>
      </c>
      <c r="L12" s="213">
        <v>425.28</v>
      </c>
    </row>
    <row r="13" spans="1:12" s="214" customFormat="1" ht="13.5" thickBot="1" x14ac:dyDescent="0.25">
      <c r="A13" s="211">
        <v>61002</v>
      </c>
      <c r="B13" s="212" t="s">
        <v>153</v>
      </c>
      <c r="C13" s="213">
        <v>668</v>
      </c>
      <c r="D13" s="213">
        <v>675</v>
      </c>
      <c r="E13" s="213">
        <v>675.12</v>
      </c>
      <c r="F13" s="213">
        <v>693.33</v>
      </c>
      <c r="G13" s="213">
        <v>704.82</v>
      </c>
      <c r="H13" s="213">
        <v>704.48</v>
      </c>
      <c r="I13" s="213">
        <v>715.24</v>
      </c>
      <c r="J13" s="213">
        <v>709.95</v>
      </c>
      <c r="K13" s="213">
        <v>673.75</v>
      </c>
      <c r="L13" s="213">
        <v>650.72</v>
      </c>
    </row>
    <row r="14" spans="1:12" s="214" customFormat="1" ht="13.5" thickBot="1" x14ac:dyDescent="0.25">
      <c r="A14" s="211">
        <v>52001</v>
      </c>
      <c r="B14" s="212" t="s">
        <v>155</v>
      </c>
      <c r="C14" s="213">
        <v>148</v>
      </c>
      <c r="D14" s="213">
        <v>149</v>
      </c>
      <c r="E14" s="213">
        <v>152</v>
      </c>
      <c r="F14" s="213">
        <v>146</v>
      </c>
      <c r="G14" s="213">
        <v>141</v>
      </c>
      <c r="H14" s="213">
        <v>141</v>
      </c>
      <c r="I14" s="213">
        <v>137</v>
      </c>
      <c r="J14" s="213">
        <v>134.4</v>
      </c>
      <c r="K14" s="213">
        <v>137</v>
      </c>
      <c r="L14" s="213">
        <v>135</v>
      </c>
    </row>
    <row r="15" spans="1:12" s="214" customFormat="1" ht="13.5" thickBot="1" x14ac:dyDescent="0.25">
      <c r="A15" s="211">
        <v>4002</v>
      </c>
      <c r="B15" s="212" t="s">
        <v>156</v>
      </c>
      <c r="C15" s="213">
        <v>485.51</v>
      </c>
      <c r="D15" s="213">
        <v>510</v>
      </c>
      <c r="E15" s="213">
        <v>524</v>
      </c>
      <c r="F15" s="213">
        <v>531</v>
      </c>
      <c r="G15" s="213">
        <v>512</v>
      </c>
      <c r="H15" s="213">
        <v>495</v>
      </c>
      <c r="I15" s="213">
        <v>540</v>
      </c>
      <c r="J15" s="213">
        <v>551</v>
      </c>
      <c r="K15" s="213">
        <v>548</v>
      </c>
      <c r="L15" s="213">
        <v>551.42999999999995</v>
      </c>
    </row>
    <row r="16" spans="1:12" s="214" customFormat="1" ht="13.5" thickBot="1" x14ac:dyDescent="0.25">
      <c r="A16" s="211">
        <v>22001</v>
      </c>
      <c r="B16" s="212" t="s">
        <v>157</v>
      </c>
      <c r="C16" s="213">
        <v>122.2</v>
      </c>
      <c r="D16" s="213">
        <v>110.2</v>
      </c>
      <c r="E16" s="213">
        <v>109</v>
      </c>
      <c r="F16" s="213">
        <v>109</v>
      </c>
      <c r="G16" s="213">
        <v>112</v>
      </c>
      <c r="H16" s="213">
        <v>118.26</v>
      </c>
      <c r="I16" s="213">
        <v>118</v>
      </c>
      <c r="J16" s="213">
        <v>112</v>
      </c>
      <c r="K16" s="213">
        <v>98.13</v>
      </c>
      <c r="L16" s="213">
        <v>83.13</v>
      </c>
    </row>
    <row r="17" spans="1:12" s="214" customFormat="1" ht="13.5" thickBot="1" x14ac:dyDescent="0.25">
      <c r="A17" s="211">
        <v>49002</v>
      </c>
      <c r="B17" s="212" t="s">
        <v>158</v>
      </c>
      <c r="C17" s="213">
        <v>3778.09</v>
      </c>
      <c r="D17" s="213">
        <v>3932.2</v>
      </c>
      <c r="E17" s="213">
        <v>4057.03</v>
      </c>
      <c r="F17" s="213">
        <v>4249.75</v>
      </c>
      <c r="G17" s="213">
        <v>4427.13</v>
      </c>
      <c r="H17" s="213">
        <v>4681.8</v>
      </c>
      <c r="I17" s="213">
        <v>4866.7</v>
      </c>
      <c r="J17" s="213">
        <v>4981.6499999999996</v>
      </c>
      <c r="K17" s="213">
        <v>5016.5200000000004</v>
      </c>
      <c r="L17" s="213">
        <v>5131.53</v>
      </c>
    </row>
    <row r="18" spans="1:12" s="214" customFormat="1" ht="13.5" thickBot="1" x14ac:dyDescent="0.25">
      <c r="A18" s="211">
        <v>30003</v>
      </c>
      <c r="B18" s="212" t="s">
        <v>159</v>
      </c>
      <c r="C18" s="213">
        <v>322</v>
      </c>
      <c r="D18" s="213">
        <v>322.10000000000002</v>
      </c>
      <c r="E18" s="213">
        <v>334.1</v>
      </c>
      <c r="F18" s="213">
        <v>340</v>
      </c>
      <c r="G18" s="213">
        <v>318.2</v>
      </c>
      <c r="H18" s="213">
        <v>335</v>
      </c>
      <c r="I18" s="213">
        <v>330</v>
      </c>
      <c r="J18" s="213">
        <v>327</v>
      </c>
      <c r="K18" s="213">
        <v>333.1</v>
      </c>
      <c r="L18" s="213">
        <v>317.2</v>
      </c>
    </row>
    <row r="19" spans="1:12" s="214" customFormat="1" ht="13.5" thickBot="1" x14ac:dyDescent="0.25">
      <c r="A19" s="211">
        <v>45004</v>
      </c>
      <c r="B19" s="212" t="s">
        <v>160</v>
      </c>
      <c r="C19" s="213">
        <v>432.12</v>
      </c>
      <c r="D19" s="213">
        <v>409.24</v>
      </c>
      <c r="E19" s="213">
        <v>414.24</v>
      </c>
      <c r="F19" s="213">
        <v>418.75</v>
      </c>
      <c r="G19" s="213">
        <v>419.24</v>
      </c>
      <c r="H19" s="213">
        <v>434.1</v>
      </c>
      <c r="I19" s="213">
        <v>453.14</v>
      </c>
      <c r="J19" s="213">
        <v>477.13</v>
      </c>
      <c r="K19" s="213">
        <v>481</v>
      </c>
      <c r="L19" s="213">
        <v>469.13</v>
      </c>
    </row>
    <row r="20" spans="1:12" s="214" customFormat="1" ht="13.5" thickBot="1" x14ac:dyDescent="0.25">
      <c r="A20" s="211">
        <v>5001</v>
      </c>
      <c r="B20" s="212" t="s">
        <v>161</v>
      </c>
      <c r="C20" s="213">
        <v>3354.41</v>
      </c>
      <c r="D20" s="213">
        <v>3341.87</v>
      </c>
      <c r="E20" s="213">
        <v>3402.6</v>
      </c>
      <c r="F20" s="213">
        <v>3402.03</v>
      </c>
      <c r="G20" s="213">
        <v>3408.2</v>
      </c>
      <c r="H20" s="213">
        <v>3343.5</v>
      </c>
      <c r="I20" s="213">
        <v>3395.26</v>
      </c>
      <c r="J20" s="213">
        <v>3441.29</v>
      </c>
      <c r="K20" s="213">
        <v>3455.9</v>
      </c>
      <c r="L20" s="213">
        <v>3522.64</v>
      </c>
    </row>
    <row r="21" spans="1:12" s="214" customFormat="1" ht="13.5" thickBot="1" x14ac:dyDescent="0.25">
      <c r="A21" s="211">
        <v>26002</v>
      </c>
      <c r="B21" s="212" t="s">
        <v>162</v>
      </c>
      <c r="C21" s="213">
        <v>219</v>
      </c>
      <c r="D21" s="213">
        <v>220</v>
      </c>
      <c r="E21" s="213">
        <v>229</v>
      </c>
      <c r="F21" s="213">
        <v>243</v>
      </c>
      <c r="G21" s="213">
        <v>247</v>
      </c>
      <c r="H21" s="213">
        <v>227</v>
      </c>
      <c r="I21" s="213">
        <v>225.44</v>
      </c>
      <c r="J21" s="213">
        <v>221.6</v>
      </c>
      <c r="K21" s="213">
        <v>206.29</v>
      </c>
      <c r="L21" s="213">
        <v>214</v>
      </c>
    </row>
    <row r="22" spans="1:12" s="214" customFormat="1" ht="13.5" thickBot="1" x14ac:dyDescent="0.25">
      <c r="A22" s="211">
        <v>43001</v>
      </c>
      <c r="B22" s="212" t="s">
        <v>163</v>
      </c>
      <c r="C22" s="213">
        <v>216.09</v>
      </c>
      <c r="D22" s="213">
        <v>202.22</v>
      </c>
      <c r="E22" s="213">
        <v>210.53</v>
      </c>
      <c r="F22" s="213">
        <v>193</v>
      </c>
      <c r="G22" s="213">
        <v>216.54</v>
      </c>
      <c r="H22" s="213">
        <v>219.13</v>
      </c>
      <c r="I22" s="213">
        <v>248.42</v>
      </c>
      <c r="J22" s="213">
        <v>277.63</v>
      </c>
      <c r="K22" s="213">
        <v>303.57</v>
      </c>
      <c r="L22" s="213">
        <v>299.43</v>
      </c>
    </row>
    <row r="23" spans="1:12" s="214" customFormat="1" ht="13.5" thickBot="1" x14ac:dyDescent="0.25">
      <c r="A23" s="211">
        <v>41001</v>
      </c>
      <c r="B23" s="212" t="s">
        <v>164</v>
      </c>
      <c r="C23" s="213">
        <v>884</v>
      </c>
      <c r="D23" s="213">
        <v>880.5</v>
      </c>
      <c r="E23" s="213">
        <v>877.25</v>
      </c>
      <c r="F23" s="213">
        <v>872.88</v>
      </c>
      <c r="G23" s="213">
        <v>900.5</v>
      </c>
      <c r="H23" s="213">
        <v>874</v>
      </c>
      <c r="I23" s="213">
        <v>885</v>
      </c>
      <c r="J23" s="213">
        <v>879.55</v>
      </c>
      <c r="K23" s="213">
        <v>886.88</v>
      </c>
      <c r="L23" s="213">
        <v>896.73</v>
      </c>
    </row>
    <row r="24" spans="1:12" s="214" customFormat="1" ht="13.5" thickBot="1" x14ac:dyDescent="0.25">
      <c r="A24" s="211">
        <v>28001</v>
      </c>
      <c r="B24" s="212" t="s">
        <v>165</v>
      </c>
      <c r="C24" s="213">
        <v>254</v>
      </c>
      <c r="D24" s="213">
        <v>274</v>
      </c>
      <c r="E24" s="213">
        <v>288</v>
      </c>
      <c r="F24" s="213">
        <v>294</v>
      </c>
      <c r="G24" s="213">
        <v>301</v>
      </c>
      <c r="H24" s="213">
        <v>314</v>
      </c>
      <c r="I24" s="213">
        <v>319.29000000000002</v>
      </c>
      <c r="J24" s="213">
        <v>330</v>
      </c>
      <c r="K24" s="213">
        <v>323.16000000000003</v>
      </c>
      <c r="L24" s="213">
        <v>341</v>
      </c>
    </row>
    <row r="25" spans="1:12" s="214" customFormat="1" ht="13.5" thickBot="1" x14ac:dyDescent="0.25">
      <c r="A25" s="211">
        <v>60001</v>
      </c>
      <c r="B25" s="212" t="s">
        <v>166</v>
      </c>
      <c r="C25" s="213">
        <v>227.13</v>
      </c>
      <c r="D25" s="213">
        <v>225.13</v>
      </c>
      <c r="E25" s="213">
        <v>266.39</v>
      </c>
      <c r="F25" s="213">
        <v>273.39</v>
      </c>
      <c r="G25" s="213">
        <v>277.06</v>
      </c>
      <c r="H25" s="213">
        <v>283.13</v>
      </c>
      <c r="I25" s="213">
        <v>280.13</v>
      </c>
      <c r="J25" s="213">
        <v>282</v>
      </c>
      <c r="K25" s="213">
        <v>266</v>
      </c>
      <c r="L25" s="213">
        <v>252</v>
      </c>
    </row>
    <row r="26" spans="1:12" s="214" customFormat="1" ht="13.5" thickBot="1" x14ac:dyDescent="0.25">
      <c r="A26" s="211">
        <v>7001</v>
      </c>
      <c r="B26" s="212" t="s">
        <v>167</v>
      </c>
      <c r="C26" s="213">
        <v>902.51</v>
      </c>
      <c r="D26" s="213">
        <v>872.28</v>
      </c>
      <c r="E26" s="213">
        <v>900.08</v>
      </c>
      <c r="F26" s="213">
        <v>885.51</v>
      </c>
      <c r="G26" s="213">
        <v>870.2</v>
      </c>
      <c r="H26" s="213">
        <v>876.6</v>
      </c>
      <c r="I26" s="213">
        <v>868.92</v>
      </c>
      <c r="J26" s="213">
        <v>855.25</v>
      </c>
      <c r="K26" s="213">
        <v>846.66</v>
      </c>
      <c r="L26" s="213">
        <v>858.33</v>
      </c>
    </row>
    <row r="27" spans="1:12" s="214" customFormat="1" ht="13.5" thickBot="1" x14ac:dyDescent="0.25">
      <c r="A27" s="211">
        <v>39001</v>
      </c>
      <c r="B27" s="212" t="s">
        <v>298</v>
      </c>
      <c r="C27" s="213">
        <v>587</v>
      </c>
      <c r="D27" s="213">
        <v>586</v>
      </c>
      <c r="E27" s="213">
        <v>561</v>
      </c>
      <c r="F27" s="213">
        <v>531</v>
      </c>
      <c r="G27" s="213">
        <v>550</v>
      </c>
      <c r="H27" s="213">
        <v>544</v>
      </c>
      <c r="I27" s="213">
        <v>541</v>
      </c>
      <c r="J27" s="213">
        <v>545</v>
      </c>
      <c r="K27" s="213">
        <v>512</v>
      </c>
      <c r="L27" s="213">
        <v>547</v>
      </c>
    </row>
    <row r="28" spans="1:12" s="214" customFormat="1" ht="13.5" thickBot="1" x14ac:dyDescent="0.25">
      <c r="A28" s="211">
        <v>12002</v>
      </c>
      <c r="B28" s="212" t="s">
        <v>169</v>
      </c>
      <c r="C28" s="213">
        <v>369</v>
      </c>
      <c r="D28" s="213">
        <v>351</v>
      </c>
      <c r="E28" s="213">
        <v>356</v>
      </c>
      <c r="F28" s="213">
        <v>376</v>
      </c>
      <c r="G28" s="213">
        <v>411</v>
      </c>
      <c r="H28" s="213">
        <v>438</v>
      </c>
      <c r="I28" s="213">
        <v>449</v>
      </c>
      <c r="J28" s="213">
        <v>450</v>
      </c>
      <c r="K28" s="213">
        <v>467</v>
      </c>
      <c r="L28" s="213">
        <v>470</v>
      </c>
    </row>
    <row r="29" spans="1:12" s="214" customFormat="1" ht="13.5" thickBot="1" x14ac:dyDescent="0.25">
      <c r="A29" s="211">
        <v>50005</v>
      </c>
      <c r="B29" s="212" t="s">
        <v>170</v>
      </c>
      <c r="C29" s="213">
        <v>259</v>
      </c>
      <c r="D29" s="213">
        <v>250</v>
      </c>
      <c r="E29" s="213">
        <v>247</v>
      </c>
      <c r="F29" s="213">
        <v>252.6</v>
      </c>
      <c r="G29" s="213">
        <v>274.39999999999998</v>
      </c>
      <c r="H29" s="213">
        <v>279.39999999999998</v>
      </c>
      <c r="I29" s="213">
        <v>274.91000000000003</v>
      </c>
      <c r="J29" s="213">
        <v>293.39999999999998</v>
      </c>
      <c r="K29" s="213">
        <v>304.99</v>
      </c>
      <c r="L29" s="213">
        <v>331</v>
      </c>
    </row>
    <row r="30" spans="1:12" s="214" customFormat="1" ht="13.5" thickBot="1" x14ac:dyDescent="0.25">
      <c r="A30" s="211">
        <v>59003</v>
      </c>
      <c r="B30" s="212" t="s">
        <v>433</v>
      </c>
      <c r="C30" s="213">
        <v>234</v>
      </c>
      <c r="D30" s="213">
        <v>228</v>
      </c>
      <c r="E30" s="213">
        <v>224</v>
      </c>
      <c r="F30" s="213">
        <v>229</v>
      </c>
      <c r="G30" s="213">
        <v>219.6</v>
      </c>
      <c r="H30" s="213">
        <v>202</v>
      </c>
      <c r="I30" s="213">
        <v>191</v>
      </c>
      <c r="J30" s="213">
        <v>163.19999999999999</v>
      </c>
      <c r="K30" s="213">
        <v>149</v>
      </c>
      <c r="L30" s="213">
        <v>130.80000000000001</v>
      </c>
    </row>
    <row r="31" spans="1:12" s="214" customFormat="1" ht="13.5" thickBot="1" x14ac:dyDescent="0.25">
      <c r="A31" s="211">
        <v>21003</v>
      </c>
      <c r="B31" s="212" t="s">
        <v>172</v>
      </c>
      <c r="C31" s="213">
        <v>230</v>
      </c>
      <c r="D31" s="213">
        <v>246</v>
      </c>
      <c r="E31" s="213">
        <v>251</v>
      </c>
      <c r="F31" s="213">
        <v>253</v>
      </c>
      <c r="G31" s="213">
        <v>255</v>
      </c>
      <c r="H31" s="213">
        <v>258</v>
      </c>
      <c r="I31" s="213">
        <v>267</v>
      </c>
      <c r="J31" s="213">
        <v>247.24</v>
      </c>
      <c r="K31" s="213">
        <v>252.5</v>
      </c>
      <c r="L31" s="213">
        <v>249</v>
      </c>
    </row>
    <row r="32" spans="1:12" s="214" customFormat="1" ht="13.5" thickBot="1" x14ac:dyDescent="0.25">
      <c r="A32" s="211">
        <v>16001</v>
      </c>
      <c r="B32" s="212" t="s">
        <v>173</v>
      </c>
      <c r="C32" s="213">
        <v>873.38</v>
      </c>
      <c r="D32" s="213">
        <v>881.16</v>
      </c>
      <c r="E32" s="213">
        <v>897.02</v>
      </c>
      <c r="F32" s="213">
        <v>958.86</v>
      </c>
      <c r="G32" s="213">
        <v>929.82</v>
      </c>
      <c r="H32" s="213">
        <v>890.66</v>
      </c>
      <c r="I32" s="213">
        <v>922.99</v>
      </c>
      <c r="J32" s="213">
        <v>913.44</v>
      </c>
      <c r="K32" s="213">
        <v>910.87</v>
      </c>
      <c r="L32" s="213">
        <v>871.38</v>
      </c>
    </row>
    <row r="33" spans="1:12" s="214" customFormat="1" ht="13.5" thickBot="1" x14ac:dyDescent="0.25">
      <c r="A33" s="211">
        <v>61008</v>
      </c>
      <c r="B33" s="212" t="s">
        <v>174</v>
      </c>
      <c r="C33" s="213">
        <v>1285.48</v>
      </c>
      <c r="D33" s="213">
        <v>1294.78</v>
      </c>
      <c r="E33" s="213">
        <v>1300.47</v>
      </c>
      <c r="F33" s="213">
        <v>1355.41</v>
      </c>
      <c r="G33" s="213">
        <v>1381</v>
      </c>
      <c r="H33" s="213">
        <v>1379.3</v>
      </c>
      <c r="I33" s="213">
        <v>1375.5</v>
      </c>
      <c r="J33" s="213">
        <v>1392.46</v>
      </c>
      <c r="K33" s="213">
        <v>1386.66</v>
      </c>
      <c r="L33" s="213">
        <v>1339.04</v>
      </c>
    </row>
    <row r="34" spans="1:12" s="214" customFormat="1" ht="13.5" thickBot="1" x14ac:dyDescent="0.25">
      <c r="A34" s="211">
        <v>38002</v>
      </c>
      <c r="B34" s="212" t="s">
        <v>175</v>
      </c>
      <c r="C34" s="213">
        <v>286</v>
      </c>
      <c r="D34" s="213">
        <v>308</v>
      </c>
      <c r="E34" s="213">
        <v>302</v>
      </c>
      <c r="F34" s="213">
        <v>285</v>
      </c>
      <c r="G34" s="213">
        <v>278</v>
      </c>
      <c r="H34" s="213">
        <v>284</v>
      </c>
      <c r="I34" s="213">
        <v>298.26</v>
      </c>
      <c r="J34" s="213">
        <v>311.26</v>
      </c>
      <c r="K34" s="213">
        <v>337</v>
      </c>
      <c r="L34" s="213">
        <v>343</v>
      </c>
    </row>
    <row r="35" spans="1:12" s="214" customFormat="1" ht="13.5" thickBot="1" x14ac:dyDescent="0.25">
      <c r="A35" s="211">
        <v>49003</v>
      </c>
      <c r="B35" s="212" t="s">
        <v>176</v>
      </c>
      <c r="C35" s="213">
        <v>902.88</v>
      </c>
      <c r="D35" s="213">
        <v>912.02</v>
      </c>
      <c r="E35" s="213">
        <v>938.13</v>
      </c>
      <c r="F35" s="213">
        <v>951.27</v>
      </c>
      <c r="G35" s="213">
        <v>992.1</v>
      </c>
      <c r="H35" s="213">
        <v>982.16</v>
      </c>
      <c r="I35" s="213">
        <v>988.38</v>
      </c>
      <c r="J35" s="213">
        <v>989.72</v>
      </c>
      <c r="K35" s="213">
        <v>981.94</v>
      </c>
      <c r="L35" s="213">
        <v>975.57</v>
      </c>
    </row>
    <row r="36" spans="1:12" s="214" customFormat="1" ht="13.5" thickBot="1" x14ac:dyDescent="0.25">
      <c r="A36" s="211">
        <v>5006</v>
      </c>
      <c r="B36" s="212" t="s">
        <v>297</v>
      </c>
      <c r="C36" s="213">
        <v>367</v>
      </c>
      <c r="D36" s="213">
        <v>344</v>
      </c>
      <c r="E36" s="213">
        <v>365</v>
      </c>
      <c r="F36" s="213">
        <v>379</v>
      </c>
      <c r="G36" s="213">
        <v>363</v>
      </c>
      <c r="H36" s="213">
        <v>386</v>
      </c>
      <c r="I36" s="213">
        <v>391</v>
      </c>
      <c r="J36" s="213">
        <v>399</v>
      </c>
      <c r="K36" s="213">
        <v>400</v>
      </c>
      <c r="L36" s="213">
        <v>403</v>
      </c>
    </row>
    <row r="37" spans="1:12" s="214" customFormat="1" ht="13.5" thickBot="1" x14ac:dyDescent="0.25">
      <c r="A37" s="211">
        <v>19004</v>
      </c>
      <c r="B37" s="212" t="s">
        <v>178</v>
      </c>
      <c r="C37" s="213">
        <v>502.85</v>
      </c>
      <c r="D37" s="213">
        <v>482</v>
      </c>
      <c r="E37" s="213">
        <v>490.25</v>
      </c>
      <c r="F37" s="213">
        <v>513.25</v>
      </c>
      <c r="G37" s="213">
        <v>502.25</v>
      </c>
      <c r="H37" s="213">
        <v>519.25</v>
      </c>
      <c r="I37" s="213">
        <v>529</v>
      </c>
      <c r="J37" s="213">
        <v>510</v>
      </c>
      <c r="K37" s="213">
        <v>512</v>
      </c>
      <c r="L37" s="213">
        <v>523.38</v>
      </c>
    </row>
    <row r="38" spans="1:12" s="214" customFormat="1" ht="13.5" thickBot="1" x14ac:dyDescent="0.25">
      <c r="A38" s="211">
        <v>56002</v>
      </c>
      <c r="B38" s="212" t="s">
        <v>179</v>
      </c>
      <c r="C38" s="213">
        <v>179</v>
      </c>
      <c r="D38" s="213">
        <v>170</v>
      </c>
      <c r="E38" s="213">
        <v>174</v>
      </c>
      <c r="F38" s="213">
        <v>160</v>
      </c>
      <c r="G38" s="213">
        <v>151</v>
      </c>
      <c r="H38" s="213">
        <v>139</v>
      </c>
      <c r="I38" s="213">
        <v>143</v>
      </c>
      <c r="J38" s="213">
        <v>142</v>
      </c>
      <c r="K38" s="213">
        <v>140</v>
      </c>
      <c r="L38" s="213">
        <v>138</v>
      </c>
    </row>
    <row r="39" spans="1:12" s="214" customFormat="1" ht="13.5" thickBot="1" x14ac:dyDescent="0.25">
      <c r="A39" s="211">
        <v>51001</v>
      </c>
      <c r="B39" s="212" t="s">
        <v>180</v>
      </c>
      <c r="C39" s="213">
        <v>2759</v>
      </c>
      <c r="D39" s="213">
        <v>2788</v>
      </c>
      <c r="E39" s="213">
        <v>2924.58</v>
      </c>
      <c r="F39" s="213">
        <v>2907</v>
      </c>
      <c r="G39" s="213">
        <v>2838</v>
      </c>
      <c r="H39" s="213">
        <v>2758</v>
      </c>
      <c r="I39" s="213">
        <v>2804.14</v>
      </c>
      <c r="J39" s="213">
        <v>2750</v>
      </c>
      <c r="K39" s="213">
        <v>2755.28</v>
      </c>
      <c r="L39" s="213">
        <v>2775.27</v>
      </c>
    </row>
    <row r="40" spans="1:12" s="214" customFormat="1" ht="13.5" thickBot="1" x14ac:dyDescent="0.25">
      <c r="A40" s="211">
        <v>64002</v>
      </c>
      <c r="B40" s="212" t="s">
        <v>181</v>
      </c>
      <c r="C40" s="213">
        <v>380</v>
      </c>
      <c r="D40" s="213">
        <v>389</v>
      </c>
      <c r="E40" s="213">
        <v>374.95</v>
      </c>
      <c r="F40" s="213">
        <v>362</v>
      </c>
      <c r="G40" s="213">
        <v>380</v>
      </c>
      <c r="H40" s="213">
        <v>397</v>
      </c>
      <c r="I40" s="213">
        <v>369</v>
      </c>
      <c r="J40" s="213">
        <v>378</v>
      </c>
      <c r="K40" s="213">
        <v>364.87</v>
      </c>
      <c r="L40" s="213">
        <v>350.3</v>
      </c>
    </row>
    <row r="41" spans="1:12" s="214" customFormat="1" ht="13.5" thickBot="1" x14ac:dyDescent="0.25">
      <c r="A41" s="211">
        <v>20001</v>
      </c>
      <c r="B41" s="212" t="s">
        <v>182</v>
      </c>
      <c r="C41" s="213">
        <v>353.02</v>
      </c>
      <c r="D41" s="213">
        <v>331.02</v>
      </c>
      <c r="E41" s="213">
        <v>355.01</v>
      </c>
      <c r="F41" s="213">
        <v>345.01</v>
      </c>
      <c r="G41" s="213">
        <v>340</v>
      </c>
      <c r="H41" s="213">
        <v>318.83999999999997</v>
      </c>
      <c r="I41" s="213">
        <v>333.84</v>
      </c>
      <c r="J41" s="213">
        <v>363</v>
      </c>
      <c r="K41" s="213">
        <v>380</v>
      </c>
      <c r="L41" s="213">
        <v>378</v>
      </c>
    </row>
    <row r="42" spans="1:12" s="214" customFormat="1" ht="13.5" thickBot="1" x14ac:dyDescent="0.25">
      <c r="A42" s="211">
        <v>23001</v>
      </c>
      <c r="B42" s="212" t="s">
        <v>183</v>
      </c>
      <c r="C42" s="213">
        <v>150</v>
      </c>
      <c r="D42" s="213">
        <v>142.13999999999999</v>
      </c>
      <c r="E42" s="213">
        <v>153.29</v>
      </c>
      <c r="F42" s="213">
        <v>159.13999999999999</v>
      </c>
      <c r="G42" s="213">
        <v>161</v>
      </c>
      <c r="H42" s="213">
        <v>158</v>
      </c>
      <c r="I42" s="213">
        <v>159</v>
      </c>
      <c r="J42" s="213">
        <v>147</v>
      </c>
      <c r="K42" s="213">
        <v>122</v>
      </c>
      <c r="L42" s="213">
        <v>112</v>
      </c>
    </row>
    <row r="43" spans="1:12" s="214" customFormat="1" ht="13.5" thickBot="1" x14ac:dyDescent="0.25">
      <c r="A43" s="211">
        <v>22005</v>
      </c>
      <c r="B43" s="212" t="s">
        <v>184</v>
      </c>
      <c r="C43" s="213">
        <v>132</v>
      </c>
      <c r="D43" s="213">
        <v>128</v>
      </c>
      <c r="E43" s="213">
        <v>147</v>
      </c>
      <c r="F43" s="213">
        <v>140</v>
      </c>
      <c r="G43" s="213">
        <v>132</v>
      </c>
      <c r="H43" s="213">
        <v>140</v>
      </c>
      <c r="I43" s="213">
        <v>130</v>
      </c>
      <c r="J43" s="213">
        <v>131</v>
      </c>
      <c r="K43" s="213">
        <v>132</v>
      </c>
      <c r="L43" s="213">
        <v>131</v>
      </c>
    </row>
    <row r="44" spans="1:12" s="214" customFormat="1" ht="13.5" thickBot="1" x14ac:dyDescent="0.25">
      <c r="A44" s="211">
        <v>16002</v>
      </c>
      <c r="B44" s="212" t="s">
        <v>185</v>
      </c>
      <c r="C44" s="213">
        <v>7</v>
      </c>
      <c r="D44" s="213">
        <v>11</v>
      </c>
      <c r="E44" s="213">
        <v>10</v>
      </c>
      <c r="F44" s="213">
        <v>13</v>
      </c>
      <c r="G44" s="213">
        <v>8</v>
      </c>
      <c r="H44" s="213">
        <v>9</v>
      </c>
      <c r="I44" s="213">
        <v>11</v>
      </c>
      <c r="J44" s="213">
        <v>10</v>
      </c>
      <c r="K44" s="213">
        <v>14.71</v>
      </c>
      <c r="L44" s="213">
        <v>12</v>
      </c>
    </row>
    <row r="45" spans="1:12" s="214" customFormat="1" ht="13.5" thickBot="1" x14ac:dyDescent="0.25">
      <c r="A45" s="211">
        <v>61007</v>
      </c>
      <c r="B45" s="212" t="s">
        <v>186</v>
      </c>
      <c r="C45" s="213">
        <v>686</v>
      </c>
      <c r="D45" s="213">
        <v>655</v>
      </c>
      <c r="E45" s="213">
        <v>687</v>
      </c>
      <c r="F45" s="213">
        <v>687</v>
      </c>
      <c r="G45" s="213">
        <v>690</v>
      </c>
      <c r="H45" s="213">
        <v>696</v>
      </c>
      <c r="I45" s="213">
        <v>693</v>
      </c>
      <c r="J45" s="213">
        <v>686</v>
      </c>
      <c r="K45" s="213">
        <v>687</v>
      </c>
      <c r="L45" s="213">
        <v>697</v>
      </c>
    </row>
    <row r="46" spans="1:12" s="214" customFormat="1" ht="13.5" thickBot="1" x14ac:dyDescent="0.25">
      <c r="A46" s="211">
        <v>5003</v>
      </c>
      <c r="B46" s="212" t="s">
        <v>187</v>
      </c>
      <c r="C46" s="213">
        <v>279</v>
      </c>
      <c r="D46" s="213">
        <v>298</v>
      </c>
      <c r="E46" s="213">
        <v>310</v>
      </c>
      <c r="F46" s="213">
        <v>322</v>
      </c>
      <c r="G46" s="213">
        <v>337</v>
      </c>
      <c r="H46" s="213">
        <v>328</v>
      </c>
      <c r="I46" s="213">
        <v>347</v>
      </c>
      <c r="J46" s="213">
        <v>354.25</v>
      </c>
      <c r="K46" s="213">
        <v>363.15</v>
      </c>
      <c r="L46" s="213">
        <v>351.33</v>
      </c>
    </row>
    <row r="47" spans="1:12" s="214" customFormat="1" ht="13.5" thickBot="1" x14ac:dyDescent="0.25">
      <c r="A47" s="211">
        <v>28002</v>
      </c>
      <c r="B47" s="212" t="s">
        <v>188</v>
      </c>
      <c r="C47" s="213">
        <v>245</v>
      </c>
      <c r="D47" s="213">
        <v>261</v>
      </c>
      <c r="E47" s="213">
        <v>271</v>
      </c>
      <c r="F47" s="213">
        <v>261</v>
      </c>
      <c r="G47" s="213">
        <v>265</v>
      </c>
      <c r="H47" s="213">
        <v>273</v>
      </c>
      <c r="I47" s="213">
        <v>262.13</v>
      </c>
      <c r="J47" s="213">
        <v>267.13</v>
      </c>
      <c r="K47" s="213">
        <v>262.57</v>
      </c>
      <c r="L47" s="213">
        <v>274.93</v>
      </c>
    </row>
    <row r="48" spans="1:12" s="214" customFormat="1" ht="13.5" thickBot="1" x14ac:dyDescent="0.25">
      <c r="A48" s="211">
        <v>17001</v>
      </c>
      <c r="B48" s="212" t="s">
        <v>189</v>
      </c>
      <c r="C48" s="213">
        <v>239</v>
      </c>
      <c r="D48" s="213">
        <v>250</v>
      </c>
      <c r="E48" s="213">
        <v>248</v>
      </c>
      <c r="F48" s="213">
        <v>269.8</v>
      </c>
      <c r="G48" s="213">
        <v>272.5</v>
      </c>
      <c r="H48" s="213">
        <v>270.5</v>
      </c>
      <c r="I48" s="213">
        <v>274</v>
      </c>
      <c r="J48" s="213">
        <v>270</v>
      </c>
      <c r="K48" s="213">
        <v>279</v>
      </c>
      <c r="L48" s="213">
        <v>270</v>
      </c>
    </row>
    <row r="49" spans="1:12" s="214" customFormat="1" ht="13.5" thickBot="1" x14ac:dyDescent="0.25">
      <c r="A49" s="211">
        <v>44001</v>
      </c>
      <c r="B49" s="212" t="s">
        <v>190</v>
      </c>
      <c r="C49" s="213">
        <v>138</v>
      </c>
      <c r="D49" s="213">
        <v>151</v>
      </c>
      <c r="E49" s="213">
        <v>153</v>
      </c>
      <c r="F49" s="213">
        <v>156.97999999999999</v>
      </c>
      <c r="G49" s="213">
        <v>153.30000000000001</v>
      </c>
      <c r="H49" s="213">
        <v>148.19999999999999</v>
      </c>
      <c r="I49" s="213">
        <v>154.19999999999999</v>
      </c>
      <c r="J49" s="213">
        <v>151.5</v>
      </c>
      <c r="K49" s="213">
        <v>158</v>
      </c>
      <c r="L49" s="213">
        <v>154.19999999999999</v>
      </c>
    </row>
    <row r="50" spans="1:12" s="214" customFormat="1" ht="13.5" thickBot="1" x14ac:dyDescent="0.25">
      <c r="A50" s="211">
        <v>46002</v>
      </c>
      <c r="B50" s="212" t="s">
        <v>191</v>
      </c>
      <c r="C50" s="213">
        <v>185</v>
      </c>
      <c r="D50" s="213">
        <v>173</v>
      </c>
      <c r="E50" s="213">
        <v>164</v>
      </c>
      <c r="F50" s="213">
        <v>177</v>
      </c>
      <c r="G50" s="213">
        <v>175</v>
      </c>
      <c r="H50" s="213">
        <v>184</v>
      </c>
      <c r="I50" s="213">
        <v>168</v>
      </c>
      <c r="J50" s="213">
        <v>184</v>
      </c>
      <c r="K50" s="213">
        <v>185</v>
      </c>
      <c r="L50" s="213">
        <v>181</v>
      </c>
    </row>
    <row r="51" spans="1:12" s="214" customFormat="1" ht="13.5" thickBot="1" x14ac:dyDescent="0.25">
      <c r="A51" s="211">
        <v>24004</v>
      </c>
      <c r="B51" s="212" t="s">
        <v>192</v>
      </c>
      <c r="C51" s="213">
        <v>302</v>
      </c>
      <c r="D51" s="213">
        <v>308</v>
      </c>
      <c r="E51" s="213">
        <v>306</v>
      </c>
      <c r="F51" s="213">
        <v>311</v>
      </c>
      <c r="G51" s="213">
        <v>335</v>
      </c>
      <c r="H51" s="213">
        <v>356</v>
      </c>
      <c r="I51" s="213">
        <v>359</v>
      </c>
      <c r="J51" s="213">
        <v>370</v>
      </c>
      <c r="K51" s="213">
        <v>374</v>
      </c>
      <c r="L51" s="213">
        <v>386</v>
      </c>
    </row>
    <row r="52" spans="1:12" s="214" customFormat="1" ht="13.5" thickBot="1" x14ac:dyDescent="0.25">
      <c r="A52" s="211">
        <v>50003</v>
      </c>
      <c r="B52" s="212" t="s">
        <v>193</v>
      </c>
      <c r="C52" s="213">
        <v>669.7</v>
      </c>
      <c r="D52" s="213">
        <v>683.7</v>
      </c>
      <c r="E52" s="213">
        <v>683.84</v>
      </c>
      <c r="F52" s="213">
        <v>690.28</v>
      </c>
      <c r="G52" s="213">
        <v>709.28</v>
      </c>
      <c r="H52" s="213">
        <v>700.28</v>
      </c>
      <c r="I52" s="213">
        <v>723</v>
      </c>
      <c r="J52" s="213">
        <v>703.14</v>
      </c>
      <c r="K52" s="213">
        <v>705.28</v>
      </c>
      <c r="L52" s="213">
        <v>730.14</v>
      </c>
    </row>
    <row r="53" spans="1:12" s="214" customFormat="1" ht="13.5" thickBot="1" x14ac:dyDescent="0.25">
      <c r="A53" s="211">
        <v>14001</v>
      </c>
      <c r="B53" s="212" t="s">
        <v>194</v>
      </c>
      <c r="C53" s="213">
        <v>237</v>
      </c>
      <c r="D53" s="213">
        <v>247</v>
      </c>
      <c r="E53" s="213">
        <v>256</v>
      </c>
      <c r="F53" s="213">
        <v>257</v>
      </c>
      <c r="G53" s="213">
        <v>271.99</v>
      </c>
      <c r="H53" s="213">
        <v>288.01</v>
      </c>
      <c r="I53" s="213">
        <v>293.05</v>
      </c>
      <c r="J53" s="213">
        <v>290.7</v>
      </c>
      <c r="K53" s="213">
        <v>313.35000000000002</v>
      </c>
      <c r="L53" s="213">
        <v>324.45999999999998</v>
      </c>
    </row>
    <row r="54" spans="1:12" s="214" customFormat="1" ht="13.5" thickBot="1" x14ac:dyDescent="0.25">
      <c r="A54" s="211">
        <v>6002</v>
      </c>
      <c r="B54" s="212" t="s">
        <v>195</v>
      </c>
      <c r="C54" s="213">
        <v>158.30000000000001</v>
      </c>
      <c r="D54" s="213">
        <v>165.3</v>
      </c>
      <c r="E54" s="213">
        <v>160.6</v>
      </c>
      <c r="F54" s="213">
        <v>163</v>
      </c>
      <c r="G54" s="213">
        <v>158.6</v>
      </c>
      <c r="H54" s="213">
        <v>161.5</v>
      </c>
      <c r="I54" s="213">
        <v>174</v>
      </c>
      <c r="J54" s="213">
        <v>172</v>
      </c>
      <c r="K54" s="213">
        <v>177.27</v>
      </c>
      <c r="L54" s="213">
        <v>173</v>
      </c>
    </row>
    <row r="55" spans="1:12" s="214" customFormat="1" ht="13.5" thickBot="1" x14ac:dyDescent="0.25">
      <c r="A55" s="211">
        <v>33001</v>
      </c>
      <c r="B55" s="212" t="s">
        <v>196</v>
      </c>
      <c r="C55" s="213">
        <v>318.02</v>
      </c>
      <c r="D55" s="213">
        <v>303.02</v>
      </c>
      <c r="E55" s="213">
        <v>318.02</v>
      </c>
      <c r="F55" s="213">
        <v>320.02999999999997</v>
      </c>
      <c r="G55" s="213">
        <v>325.36</v>
      </c>
      <c r="H55" s="213">
        <v>337.45</v>
      </c>
      <c r="I55" s="213">
        <v>382.07</v>
      </c>
      <c r="J55" s="213">
        <v>406.22</v>
      </c>
      <c r="K55" s="213">
        <v>421.49</v>
      </c>
      <c r="L55" s="213">
        <v>428.23</v>
      </c>
    </row>
    <row r="56" spans="1:12" s="214" customFormat="1" ht="13.5" thickBot="1" x14ac:dyDescent="0.25">
      <c r="A56" s="211">
        <v>49004</v>
      </c>
      <c r="B56" s="212" t="s">
        <v>197</v>
      </c>
      <c r="C56" s="213">
        <v>474</v>
      </c>
      <c r="D56" s="213">
        <v>463</v>
      </c>
      <c r="E56" s="213">
        <v>477</v>
      </c>
      <c r="F56" s="213">
        <v>480.43</v>
      </c>
      <c r="G56" s="213">
        <v>494.77</v>
      </c>
      <c r="H56" s="213">
        <v>465.34</v>
      </c>
      <c r="I56" s="213">
        <v>465</v>
      </c>
      <c r="J56" s="213">
        <v>444.12</v>
      </c>
      <c r="K56" s="213">
        <v>456.44</v>
      </c>
      <c r="L56" s="213">
        <v>475.81</v>
      </c>
    </row>
    <row r="57" spans="1:12" s="214" customFormat="1" ht="13.5" thickBot="1" x14ac:dyDescent="0.25">
      <c r="A57" s="211">
        <v>63001</v>
      </c>
      <c r="B57" s="212" t="s">
        <v>198</v>
      </c>
      <c r="C57" s="213">
        <v>287</v>
      </c>
      <c r="D57" s="213">
        <v>304</v>
      </c>
      <c r="E57" s="213">
        <v>279</v>
      </c>
      <c r="F57" s="213">
        <v>293</v>
      </c>
      <c r="G57" s="213">
        <v>290</v>
      </c>
      <c r="H57" s="213">
        <v>279</v>
      </c>
      <c r="I57" s="213">
        <v>275</v>
      </c>
      <c r="J57" s="213">
        <v>262</v>
      </c>
      <c r="K57" s="213">
        <v>257</v>
      </c>
      <c r="L57" s="213">
        <v>255</v>
      </c>
    </row>
    <row r="58" spans="1:12" s="214" customFormat="1" ht="13.5" thickBot="1" x14ac:dyDescent="0.25">
      <c r="A58" s="211">
        <v>53001</v>
      </c>
      <c r="B58" s="212" t="s">
        <v>199</v>
      </c>
      <c r="C58" s="213">
        <v>252.04</v>
      </c>
      <c r="D58" s="213">
        <v>241.04</v>
      </c>
      <c r="E58" s="213">
        <v>243.04</v>
      </c>
      <c r="F58" s="213">
        <v>239.04</v>
      </c>
      <c r="G58" s="213">
        <v>225.75</v>
      </c>
      <c r="H58" s="213">
        <v>224.51</v>
      </c>
      <c r="I58" s="213">
        <v>228</v>
      </c>
      <c r="J58" s="213">
        <v>214.26</v>
      </c>
      <c r="K58" s="213">
        <v>221</v>
      </c>
      <c r="L58" s="213">
        <v>215</v>
      </c>
    </row>
    <row r="59" spans="1:12" s="214" customFormat="1" ht="13.5" thickBot="1" x14ac:dyDescent="0.25">
      <c r="A59" s="211">
        <v>26004</v>
      </c>
      <c r="B59" s="212" t="s">
        <v>200</v>
      </c>
      <c r="C59" s="213">
        <v>391</v>
      </c>
      <c r="D59" s="213">
        <v>361</v>
      </c>
      <c r="E59" s="213">
        <v>371</v>
      </c>
      <c r="F59" s="213">
        <v>373.6</v>
      </c>
      <c r="G59" s="213">
        <v>373</v>
      </c>
      <c r="H59" s="213">
        <v>384</v>
      </c>
      <c r="I59" s="213">
        <v>407</v>
      </c>
      <c r="J59" s="213">
        <v>395.53</v>
      </c>
      <c r="K59" s="213">
        <v>407.31</v>
      </c>
      <c r="L59" s="213">
        <v>419.45</v>
      </c>
    </row>
    <row r="60" spans="1:12" s="214" customFormat="1" ht="13.5" thickBot="1" x14ac:dyDescent="0.25">
      <c r="A60" s="211">
        <v>6006</v>
      </c>
      <c r="B60" s="212" t="s">
        <v>201</v>
      </c>
      <c r="C60" s="213">
        <v>582</v>
      </c>
      <c r="D60" s="213">
        <v>589</v>
      </c>
      <c r="E60" s="213">
        <v>568</v>
      </c>
      <c r="F60" s="213">
        <v>578.87</v>
      </c>
      <c r="G60" s="213">
        <v>580.86</v>
      </c>
      <c r="H60" s="213">
        <v>611.86</v>
      </c>
      <c r="I60" s="213">
        <v>590.88</v>
      </c>
      <c r="J60" s="213">
        <v>587</v>
      </c>
      <c r="K60" s="213">
        <v>596.47</v>
      </c>
      <c r="L60" s="213">
        <v>570</v>
      </c>
    </row>
    <row r="61" spans="1:12" s="214" customFormat="1" ht="13.5" thickBot="1" x14ac:dyDescent="0.25">
      <c r="A61" s="211">
        <v>27001</v>
      </c>
      <c r="B61" s="212" t="s">
        <v>202</v>
      </c>
      <c r="C61" s="213">
        <v>288</v>
      </c>
      <c r="D61" s="213">
        <v>310</v>
      </c>
      <c r="E61" s="213">
        <v>302</v>
      </c>
      <c r="F61" s="213">
        <v>310</v>
      </c>
      <c r="G61" s="213">
        <v>318</v>
      </c>
      <c r="H61" s="213">
        <v>315</v>
      </c>
      <c r="I61" s="213">
        <v>309</v>
      </c>
      <c r="J61" s="213">
        <v>319.27999999999997</v>
      </c>
      <c r="K61" s="213">
        <v>323.81</v>
      </c>
      <c r="L61" s="213">
        <v>327.95</v>
      </c>
    </row>
    <row r="62" spans="1:12" s="214" customFormat="1" ht="13.5" thickBot="1" x14ac:dyDescent="0.25">
      <c r="A62" s="211">
        <v>28003</v>
      </c>
      <c r="B62" s="212" t="s">
        <v>203</v>
      </c>
      <c r="C62" s="213">
        <v>726.68</v>
      </c>
      <c r="D62" s="213">
        <v>749</v>
      </c>
      <c r="E62" s="213">
        <v>783</v>
      </c>
      <c r="F62" s="213">
        <v>810</v>
      </c>
      <c r="G62" s="213">
        <v>842</v>
      </c>
      <c r="H62" s="213">
        <v>847</v>
      </c>
      <c r="I62" s="213">
        <v>838</v>
      </c>
      <c r="J62" s="213">
        <v>834.99</v>
      </c>
      <c r="K62" s="213">
        <v>841</v>
      </c>
      <c r="L62" s="213">
        <v>867</v>
      </c>
    </row>
    <row r="63" spans="1:12" s="214" customFormat="1" ht="13.5" thickBot="1" x14ac:dyDescent="0.25">
      <c r="A63" s="211">
        <v>30001</v>
      </c>
      <c r="B63" s="212" t="s">
        <v>204</v>
      </c>
      <c r="C63" s="213">
        <v>439</v>
      </c>
      <c r="D63" s="213">
        <v>419</v>
      </c>
      <c r="E63" s="213">
        <v>409</v>
      </c>
      <c r="F63" s="213">
        <v>402</v>
      </c>
      <c r="G63" s="213">
        <v>396</v>
      </c>
      <c r="H63" s="213">
        <v>391</v>
      </c>
      <c r="I63" s="213">
        <v>382</v>
      </c>
      <c r="J63" s="213">
        <v>385</v>
      </c>
      <c r="K63" s="213">
        <v>377.25</v>
      </c>
      <c r="L63" s="213">
        <v>371</v>
      </c>
    </row>
    <row r="64" spans="1:12" s="214" customFormat="1" ht="13.5" thickBot="1" x14ac:dyDescent="0.25">
      <c r="A64" s="211">
        <v>31001</v>
      </c>
      <c r="B64" s="212" t="s">
        <v>205</v>
      </c>
      <c r="C64" s="213">
        <v>194.25</v>
      </c>
      <c r="D64" s="213">
        <v>202.25</v>
      </c>
      <c r="E64" s="213">
        <v>195.25</v>
      </c>
      <c r="F64" s="213">
        <v>200</v>
      </c>
      <c r="G64" s="213">
        <v>200.25</v>
      </c>
      <c r="H64" s="213">
        <v>194.25</v>
      </c>
      <c r="I64" s="213">
        <v>210.25</v>
      </c>
      <c r="J64" s="213">
        <v>224</v>
      </c>
      <c r="K64" s="213">
        <v>221</v>
      </c>
      <c r="L64" s="213">
        <v>226.5</v>
      </c>
    </row>
    <row r="65" spans="1:12" s="214" customFormat="1" ht="13.5" thickBot="1" x14ac:dyDescent="0.25">
      <c r="A65" s="211">
        <v>41002</v>
      </c>
      <c r="B65" s="212" t="s">
        <v>206</v>
      </c>
      <c r="C65" s="213">
        <v>3853.6</v>
      </c>
      <c r="D65" s="213">
        <v>4144.5200000000004</v>
      </c>
      <c r="E65" s="213">
        <v>4542.16</v>
      </c>
      <c r="F65" s="213">
        <v>4807.7700000000004</v>
      </c>
      <c r="G65" s="213">
        <v>5152.17</v>
      </c>
      <c r="H65" s="213">
        <v>5418.53</v>
      </c>
      <c r="I65" s="213">
        <v>5710.32</v>
      </c>
      <c r="J65" s="213">
        <v>5902.4</v>
      </c>
      <c r="K65" s="213">
        <v>6071.99</v>
      </c>
      <c r="L65" s="213">
        <v>6191.44</v>
      </c>
    </row>
    <row r="66" spans="1:12" s="214" customFormat="1" ht="13.5" thickBot="1" x14ac:dyDescent="0.25">
      <c r="A66" s="211">
        <v>14002</v>
      </c>
      <c r="B66" s="212" t="s">
        <v>207</v>
      </c>
      <c r="C66" s="213">
        <v>166</v>
      </c>
      <c r="D66" s="213">
        <v>170</v>
      </c>
      <c r="E66" s="213">
        <v>165</v>
      </c>
      <c r="F66" s="213">
        <v>176</v>
      </c>
      <c r="G66" s="213">
        <v>157</v>
      </c>
      <c r="H66" s="213">
        <v>168</v>
      </c>
      <c r="I66" s="213">
        <v>181.01</v>
      </c>
      <c r="J66" s="213">
        <v>183</v>
      </c>
      <c r="K66" s="213">
        <v>190</v>
      </c>
      <c r="L66" s="213">
        <v>180</v>
      </c>
    </row>
    <row r="67" spans="1:12" s="214" customFormat="1" ht="13.5" thickBot="1" x14ac:dyDescent="0.25">
      <c r="A67" s="211">
        <v>10001</v>
      </c>
      <c r="B67" s="212" t="s">
        <v>208</v>
      </c>
      <c r="C67" s="213">
        <v>120.14</v>
      </c>
      <c r="D67" s="213">
        <v>117</v>
      </c>
      <c r="E67" s="213">
        <v>109</v>
      </c>
      <c r="F67" s="213">
        <v>119</v>
      </c>
      <c r="G67" s="213">
        <v>123</v>
      </c>
      <c r="H67" s="213">
        <v>119.18</v>
      </c>
      <c r="I67" s="213">
        <v>125</v>
      </c>
      <c r="J67" s="213">
        <v>140</v>
      </c>
      <c r="K67" s="213">
        <v>138</v>
      </c>
      <c r="L67" s="213">
        <v>138</v>
      </c>
    </row>
    <row r="68" spans="1:12" s="214" customFormat="1" ht="13.5" thickBot="1" x14ac:dyDescent="0.25">
      <c r="A68" s="211">
        <v>34002</v>
      </c>
      <c r="B68" s="212" t="s">
        <v>209</v>
      </c>
      <c r="C68" s="213">
        <v>251.4</v>
      </c>
      <c r="D68" s="213">
        <v>250</v>
      </c>
      <c r="E68" s="213">
        <v>238</v>
      </c>
      <c r="F68" s="213">
        <v>232.95</v>
      </c>
      <c r="G68" s="213">
        <v>225</v>
      </c>
      <c r="H68" s="213">
        <v>216</v>
      </c>
      <c r="I68" s="213">
        <v>218</v>
      </c>
      <c r="J68" s="213">
        <v>215</v>
      </c>
      <c r="K68" s="213">
        <v>231.2</v>
      </c>
      <c r="L68" s="213">
        <v>214.2</v>
      </c>
    </row>
    <row r="69" spans="1:12" s="214" customFormat="1" ht="13.5" thickBot="1" x14ac:dyDescent="0.25">
      <c r="A69" s="211">
        <v>51002</v>
      </c>
      <c r="B69" s="212" t="s">
        <v>210</v>
      </c>
      <c r="C69" s="213">
        <v>499</v>
      </c>
      <c r="D69" s="213">
        <v>498.15</v>
      </c>
      <c r="E69" s="213">
        <v>456.6</v>
      </c>
      <c r="F69" s="213">
        <v>453.4</v>
      </c>
      <c r="G69" s="213">
        <v>464</v>
      </c>
      <c r="H69" s="213">
        <v>488.3</v>
      </c>
      <c r="I69" s="213">
        <v>502.55</v>
      </c>
      <c r="J69" s="213">
        <v>486.7</v>
      </c>
      <c r="K69" s="213">
        <v>498.4</v>
      </c>
      <c r="L69" s="213">
        <v>507.4</v>
      </c>
    </row>
    <row r="70" spans="1:12" s="214" customFormat="1" ht="13.5" thickBot="1" x14ac:dyDescent="0.25">
      <c r="A70" s="211">
        <v>56006</v>
      </c>
      <c r="B70" s="212" t="s">
        <v>211</v>
      </c>
      <c r="C70" s="213">
        <v>216</v>
      </c>
      <c r="D70" s="213">
        <v>231</v>
      </c>
      <c r="E70" s="213">
        <v>232</v>
      </c>
      <c r="F70" s="213">
        <v>230.38</v>
      </c>
      <c r="G70" s="213">
        <v>229</v>
      </c>
      <c r="H70" s="213">
        <v>219</v>
      </c>
      <c r="I70" s="213">
        <v>235.13</v>
      </c>
      <c r="J70" s="213">
        <v>222</v>
      </c>
      <c r="K70" s="213">
        <v>224</v>
      </c>
      <c r="L70" s="213">
        <v>221</v>
      </c>
    </row>
    <row r="71" spans="1:12" s="214" customFormat="1" ht="13.5" thickBot="1" x14ac:dyDescent="0.25">
      <c r="A71" s="211">
        <v>23002</v>
      </c>
      <c r="B71" s="212" t="s">
        <v>212</v>
      </c>
      <c r="C71" s="213">
        <v>814.8</v>
      </c>
      <c r="D71" s="213">
        <v>806.4</v>
      </c>
      <c r="E71" s="213">
        <v>776.1</v>
      </c>
      <c r="F71" s="213">
        <v>761.24</v>
      </c>
      <c r="G71" s="213">
        <v>761.46</v>
      </c>
      <c r="H71" s="213">
        <v>730.52</v>
      </c>
      <c r="I71" s="213">
        <v>765.86</v>
      </c>
      <c r="J71" s="213">
        <v>753.26</v>
      </c>
      <c r="K71" s="213">
        <v>728.8</v>
      </c>
      <c r="L71" s="213">
        <v>691.94</v>
      </c>
    </row>
    <row r="72" spans="1:12" s="214" customFormat="1" ht="13.5" thickBot="1" x14ac:dyDescent="0.25">
      <c r="A72" s="211">
        <v>53002</v>
      </c>
      <c r="B72" s="212" t="s">
        <v>213</v>
      </c>
      <c r="C72" s="213">
        <v>112</v>
      </c>
      <c r="D72" s="213">
        <v>109</v>
      </c>
      <c r="E72" s="213">
        <v>102</v>
      </c>
      <c r="F72" s="213">
        <v>104</v>
      </c>
      <c r="G72" s="213">
        <v>99.12</v>
      </c>
      <c r="H72" s="213">
        <v>100.12</v>
      </c>
      <c r="I72" s="213">
        <v>104</v>
      </c>
      <c r="J72" s="213">
        <v>104</v>
      </c>
      <c r="K72" s="213">
        <v>105</v>
      </c>
      <c r="L72" s="213">
        <v>113</v>
      </c>
    </row>
    <row r="73" spans="1:12" s="214" customFormat="1" ht="13.5" thickBot="1" x14ac:dyDescent="0.25">
      <c r="A73" s="211">
        <v>48003</v>
      </c>
      <c r="B73" s="212" t="s">
        <v>214</v>
      </c>
      <c r="C73" s="213">
        <v>359</v>
      </c>
      <c r="D73" s="213">
        <v>365.12</v>
      </c>
      <c r="E73" s="213">
        <v>365</v>
      </c>
      <c r="F73" s="213">
        <v>363.1</v>
      </c>
      <c r="G73" s="213">
        <v>359</v>
      </c>
      <c r="H73" s="213">
        <v>339</v>
      </c>
      <c r="I73" s="213">
        <v>348</v>
      </c>
      <c r="J73" s="213">
        <v>350</v>
      </c>
      <c r="K73" s="213">
        <v>334</v>
      </c>
      <c r="L73" s="213">
        <v>337</v>
      </c>
    </row>
    <row r="74" spans="1:12" s="214" customFormat="1" ht="13.5" thickBot="1" x14ac:dyDescent="0.25">
      <c r="A74" s="211">
        <v>2002</v>
      </c>
      <c r="B74" s="212" t="s">
        <v>215</v>
      </c>
      <c r="C74" s="213">
        <f>2471.74-1</f>
        <v>2470.7399999999998</v>
      </c>
      <c r="D74" s="213">
        <v>2544.14</v>
      </c>
      <c r="E74" s="213">
        <v>2612.23</v>
      </c>
      <c r="F74" s="213">
        <v>2660.62</v>
      </c>
      <c r="G74" s="213">
        <v>2816.66</v>
      </c>
      <c r="H74" s="213">
        <v>2788.2</v>
      </c>
      <c r="I74" s="213">
        <v>2867.85</v>
      </c>
      <c r="J74" s="213">
        <v>2921.98</v>
      </c>
      <c r="K74" s="213">
        <v>2949.12</v>
      </c>
      <c r="L74" s="213">
        <v>3082.79</v>
      </c>
    </row>
    <row r="75" spans="1:12" s="214" customFormat="1" ht="13.5" thickBot="1" x14ac:dyDescent="0.25">
      <c r="A75" s="211">
        <v>22006</v>
      </c>
      <c r="B75" s="212" t="s">
        <v>216</v>
      </c>
      <c r="C75" s="213">
        <v>381.7</v>
      </c>
      <c r="D75" s="213">
        <v>403</v>
      </c>
      <c r="E75" s="213">
        <v>405.49</v>
      </c>
      <c r="F75" s="213">
        <v>422.49</v>
      </c>
      <c r="G75" s="213">
        <v>414.13</v>
      </c>
      <c r="H75" s="213">
        <v>412.13</v>
      </c>
      <c r="I75" s="213">
        <v>418</v>
      </c>
      <c r="J75" s="213">
        <v>428.07</v>
      </c>
      <c r="K75" s="213">
        <v>408.07</v>
      </c>
      <c r="L75" s="213">
        <v>430.14</v>
      </c>
    </row>
    <row r="76" spans="1:12" s="214" customFormat="1" ht="13.5" thickBot="1" x14ac:dyDescent="0.25">
      <c r="A76" s="211">
        <v>13003</v>
      </c>
      <c r="B76" s="212" t="s">
        <v>217</v>
      </c>
      <c r="C76" s="213">
        <v>289.14999999999998</v>
      </c>
      <c r="D76" s="213">
        <v>294.45</v>
      </c>
      <c r="E76" s="213">
        <v>296.3</v>
      </c>
      <c r="F76" s="213">
        <v>283.72000000000003</v>
      </c>
      <c r="G76" s="213">
        <v>290.86</v>
      </c>
      <c r="H76" s="213">
        <v>293.87</v>
      </c>
      <c r="I76" s="213">
        <v>293.57</v>
      </c>
      <c r="J76" s="213">
        <v>282.56</v>
      </c>
      <c r="K76" s="213">
        <v>275.42</v>
      </c>
      <c r="L76" s="213">
        <v>277.07</v>
      </c>
    </row>
    <row r="77" spans="1:12" s="214" customFormat="1" ht="13.5" thickBot="1" x14ac:dyDescent="0.25">
      <c r="A77" s="211">
        <v>2003</v>
      </c>
      <c r="B77" s="212" t="s">
        <v>218</v>
      </c>
      <c r="C77" s="213">
        <v>217</v>
      </c>
      <c r="D77" s="213">
        <v>238.02</v>
      </c>
      <c r="E77" s="213">
        <v>219</v>
      </c>
      <c r="F77" s="213">
        <v>223.2</v>
      </c>
      <c r="G77" s="213">
        <v>213</v>
      </c>
      <c r="H77" s="213">
        <v>204</v>
      </c>
      <c r="I77" s="213">
        <v>223.5</v>
      </c>
      <c r="J77" s="213">
        <v>229</v>
      </c>
      <c r="K77" s="213">
        <v>213.06</v>
      </c>
      <c r="L77" s="213">
        <v>214</v>
      </c>
    </row>
    <row r="78" spans="1:12" s="214" customFormat="1" ht="13.5" thickBot="1" x14ac:dyDescent="0.25">
      <c r="A78" s="211">
        <v>37003</v>
      </c>
      <c r="B78" s="212" t="s">
        <v>219</v>
      </c>
      <c r="C78" s="213">
        <v>188</v>
      </c>
      <c r="D78" s="213">
        <v>189</v>
      </c>
      <c r="E78" s="213">
        <v>187.29</v>
      </c>
      <c r="F78" s="213">
        <v>179</v>
      </c>
      <c r="G78" s="213">
        <v>168</v>
      </c>
      <c r="H78" s="213">
        <v>178</v>
      </c>
      <c r="I78" s="213">
        <v>187</v>
      </c>
      <c r="J78" s="213">
        <v>186.15</v>
      </c>
      <c r="K78" s="213">
        <v>184</v>
      </c>
      <c r="L78" s="213">
        <v>180</v>
      </c>
    </row>
    <row r="79" spans="1:12" s="214" customFormat="1" ht="13.5" thickBot="1" x14ac:dyDescent="0.25">
      <c r="A79" s="211">
        <v>35002</v>
      </c>
      <c r="B79" s="212" t="s">
        <v>220</v>
      </c>
      <c r="C79" s="213">
        <v>361</v>
      </c>
      <c r="D79" s="213">
        <v>348</v>
      </c>
      <c r="E79" s="213">
        <v>322</v>
      </c>
      <c r="F79" s="213">
        <v>322</v>
      </c>
      <c r="G79" s="213">
        <v>338.42</v>
      </c>
      <c r="H79" s="213">
        <v>314.42</v>
      </c>
      <c r="I79" s="213">
        <v>325</v>
      </c>
      <c r="J79" s="213">
        <v>317</v>
      </c>
      <c r="K79" s="213">
        <v>293</v>
      </c>
      <c r="L79" s="213">
        <v>271.83</v>
      </c>
    </row>
    <row r="80" spans="1:12" s="214" customFormat="1" ht="13.5" thickBot="1" x14ac:dyDescent="0.25">
      <c r="A80" s="211">
        <v>7002</v>
      </c>
      <c r="B80" s="212" t="s">
        <v>221</v>
      </c>
      <c r="C80" s="213">
        <v>307</v>
      </c>
      <c r="D80" s="213">
        <v>296</v>
      </c>
      <c r="E80" s="213">
        <v>304.25</v>
      </c>
      <c r="F80" s="213">
        <v>305.25</v>
      </c>
      <c r="G80" s="213">
        <v>314</v>
      </c>
      <c r="H80" s="213">
        <v>331</v>
      </c>
      <c r="I80" s="213">
        <v>330</v>
      </c>
      <c r="J80" s="213">
        <v>339.12</v>
      </c>
      <c r="K80" s="213">
        <v>350.12</v>
      </c>
      <c r="L80" s="213">
        <v>340.12</v>
      </c>
    </row>
    <row r="81" spans="1:12" s="214" customFormat="1" ht="13.5" thickBot="1" x14ac:dyDescent="0.25">
      <c r="A81" s="211">
        <v>38003</v>
      </c>
      <c r="B81" s="212" t="s">
        <v>222</v>
      </c>
      <c r="C81" s="213">
        <v>162</v>
      </c>
      <c r="D81" s="213">
        <v>148</v>
      </c>
      <c r="E81" s="213">
        <v>157</v>
      </c>
      <c r="F81" s="213">
        <v>164</v>
      </c>
      <c r="G81" s="213">
        <v>178</v>
      </c>
      <c r="H81" s="213">
        <v>169</v>
      </c>
      <c r="I81" s="213">
        <v>177</v>
      </c>
      <c r="J81" s="213">
        <v>165.49</v>
      </c>
      <c r="K81" s="213">
        <v>175</v>
      </c>
      <c r="L81" s="213">
        <v>164</v>
      </c>
    </row>
    <row r="82" spans="1:12" s="214" customFormat="1" ht="13.5" thickBot="1" x14ac:dyDescent="0.25">
      <c r="A82" s="211">
        <v>45005</v>
      </c>
      <c r="B82" s="212" t="s">
        <v>223</v>
      </c>
      <c r="C82" s="213">
        <v>218</v>
      </c>
      <c r="D82" s="213">
        <v>218</v>
      </c>
      <c r="E82" s="213">
        <v>203</v>
      </c>
      <c r="F82" s="213">
        <v>211</v>
      </c>
      <c r="G82" s="213">
        <v>213</v>
      </c>
      <c r="H82" s="213">
        <v>213</v>
      </c>
      <c r="I82" s="213">
        <v>227</v>
      </c>
      <c r="J82" s="213">
        <v>230</v>
      </c>
      <c r="K82" s="213">
        <v>225</v>
      </c>
      <c r="L82" s="213">
        <v>246.5</v>
      </c>
    </row>
    <row r="83" spans="1:12" s="214" customFormat="1" ht="13.5" thickBot="1" x14ac:dyDescent="0.25">
      <c r="A83" s="211">
        <v>40001</v>
      </c>
      <c r="B83" s="212" t="s">
        <v>304</v>
      </c>
      <c r="C83" s="213">
        <v>763.29</v>
      </c>
      <c r="D83" s="213">
        <v>725.63</v>
      </c>
      <c r="E83" s="213">
        <v>784.5</v>
      </c>
      <c r="F83" s="213">
        <v>757.99</v>
      </c>
      <c r="G83" s="213">
        <v>753.06</v>
      </c>
      <c r="H83" s="213">
        <v>725.56</v>
      </c>
      <c r="I83" s="213">
        <v>688.64</v>
      </c>
      <c r="J83" s="213">
        <v>704.31</v>
      </c>
      <c r="K83" s="213">
        <v>658.06</v>
      </c>
      <c r="L83" s="213">
        <v>637.78</v>
      </c>
    </row>
    <row r="84" spans="1:12" s="214" customFormat="1" ht="13.5" thickBot="1" x14ac:dyDescent="0.25">
      <c r="A84" s="211">
        <v>52004</v>
      </c>
      <c r="B84" s="212" t="s">
        <v>225</v>
      </c>
      <c r="C84" s="213">
        <v>273.37</v>
      </c>
      <c r="D84" s="213">
        <v>266.55</v>
      </c>
      <c r="E84" s="213">
        <v>246.19</v>
      </c>
      <c r="F84" s="213">
        <v>238.82</v>
      </c>
      <c r="G84" s="213">
        <v>247</v>
      </c>
      <c r="H84" s="213">
        <v>252.92</v>
      </c>
      <c r="I84" s="213">
        <v>267</v>
      </c>
      <c r="J84" s="213">
        <v>274.08999999999997</v>
      </c>
      <c r="K84" s="213">
        <v>284.3</v>
      </c>
      <c r="L84" s="213">
        <v>283.81</v>
      </c>
    </row>
    <row r="85" spans="1:12" s="214" customFormat="1" ht="13.5" thickBot="1" x14ac:dyDescent="0.25">
      <c r="A85" s="211">
        <v>41004</v>
      </c>
      <c r="B85" s="212" t="s">
        <v>226</v>
      </c>
      <c r="C85" s="213">
        <v>1049.51</v>
      </c>
      <c r="D85" s="213">
        <v>1055.51</v>
      </c>
      <c r="E85" s="213">
        <v>1079</v>
      </c>
      <c r="F85" s="213">
        <v>1123.75</v>
      </c>
      <c r="G85" s="213">
        <v>1141.02</v>
      </c>
      <c r="H85" s="213">
        <v>1135.53</v>
      </c>
      <c r="I85" s="213">
        <v>1137.8399999999999</v>
      </c>
      <c r="J85" s="213">
        <v>1157.28</v>
      </c>
      <c r="K85" s="213">
        <v>1151.94</v>
      </c>
      <c r="L85" s="213">
        <v>1125.97</v>
      </c>
    </row>
    <row r="86" spans="1:12" s="214" customFormat="1" ht="13.5" thickBot="1" x14ac:dyDescent="0.25">
      <c r="A86" s="211">
        <v>44002</v>
      </c>
      <c r="B86" s="212" t="s">
        <v>227</v>
      </c>
      <c r="C86" s="213">
        <v>196</v>
      </c>
      <c r="D86" s="213">
        <v>185</v>
      </c>
      <c r="E86" s="213">
        <v>203</v>
      </c>
      <c r="F86" s="213">
        <v>200</v>
      </c>
      <c r="G86" s="213">
        <v>217</v>
      </c>
      <c r="H86" s="213">
        <v>212</v>
      </c>
      <c r="I86" s="213">
        <v>210</v>
      </c>
      <c r="J86" s="213">
        <v>197</v>
      </c>
      <c r="K86" s="213">
        <v>192</v>
      </c>
      <c r="L86" s="213">
        <v>195</v>
      </c>
    </row>
    <row r="87" spans="1:12" s="214" customFormat="1" ht="13.5" thickBot="1" x14ac:dyDescent="0.25">
      <c r="A87" s="211">
        <v>42001</v>
      </c>
      <c r="B87" s="212" t="s">
        <v>228</v>
      </c>
      <c r="C87" s="213">
        <v>388</v>
      </c>
      <c r="D87" s="213">
        <v>410</v>
      </c>
      <c r="E87" s="213">
        <v>366</v>
      </c>
      <c r="F87" s="213">
        <v>366</v>
      </c>
      <c r="G87" s="213">
        <v>350</v>
      </c>
      <c r="H87" s="213">
        <v>353</v>
      </c>
      <c r="I87" s="213">
        <v>352</v>
      </c>
      <c r="J87" s="213">
        <v>345</v>
      </c>
      <c r="K87" s="213">
        <v>345</v>
      </c>
      <c r="L87" s="213">
        <v>309</v>
      </c>
    </row>
    <row r="88" spans="1:12" s="214" customFormat="1" ht="13.5" thickBot="1" x14ac:dyDescent="0.25">
      <c r="A88" s="211">
        <v>39002</v>
      </c>
      <c r="B88" s="212" t="s">
        <v>229</v>
      </c>
      <c r="C88" s="213">
        <v>1160.8399999999999</v>
      </c>
      <c r="D88" s="213">
        <v>1162.77</v>
      </c>
      <c r="E88" s="213">
        <v>1222.3</v>
      </c>
      <c r="F88" s="213">
        <v>1205.8</v>
      </c>
      <c r="G88" s="213">
        <v>1171.27</v>
      </c>
      <c r="H88" s="213">
        <v>1129.6199999999999</v>
      </c>
      <c r="I88" s="213">
        <v>1139.21</v>
      </c>
      <c r="J88" s="213">
        <v>1153.27</v>
      </c>
      <c r="K88" s="213">
        <v>1194.97</v>
      </c>
      <c r="L88" s="213">
        <v>1172.18</v>
      </c>
    </row>
    <row r="89" spans="1:12" s="214" customFormat="1" ht="13.5" thickBot="1" x14ac:dyDescent="0.25">
      <c r="A89" s="211">
        <v>60003</v>
      </c>
      <c r="B89" s="212" t="s">
        <v>230</v>
      </c>
      <c r="C89" s="213">
        <v>191</v>
      </c>
      <c r="D89" s="213">
        <v>183.9</v>
      </c>
      <c r="E89" s="213">
        <v>174.2</v>
      </c>
      <c r="F89" s="213">
        <v>167</v>
      </c>
      <c r="G89" s="213">
        <v>177</v>
      </c>
      <c r="H89" s="213">
        <v>178.72</v>
      </c>
      <c r="I89" s="213">
        <v>195</v>
      </c>
      <c r="J89" s="213">
        <v>192</v>
      </c>
      <c r="K89" s="213">
        <v>203</v>
      </c>
      <c r="L89" s="213">
        <v>203</v>
      </c>
    </row>
    <row r="90" spans="1:12" s="214" customFormat="1" ht="13.5" thickBot="1" x14ac:dyDescent="0.25">
      <c r="A90" s="211">
        <v>43007</v>
      </c>
      <c r="B90" s="212" t="s">
        <v>231</v>
      </c>
      <c r="C90" s="213">
        <v>359.57</v>
      </c>
      <c r="D90" s="213">
        <v>378.54</v>
      </c>
      <c r="E90" s="213">
        <v>378.32</v>
      </c>
      <c r="F90" s="213">
        <v>377.91</v>
      </c>
      <c r="G90" s="213">
        <v>397.37</v>
      </c>
      <c r="H90" s="213">
        <v>398.68</v>
      </c>
      <c r="I90" s="213">
        <v>403.89</v>
      </c>
      <c r="J90" s="213">
        <v>406.58</v>
      </c>
      <c r="K90" s="213">
        <v>437.51</v>
      </c>
      <c r="L90" s="213">
        <v>421.63</v>
      </c>
    </row>
    <row r="91" spans="1:12" s="214" customFormat="1" ht="13.5" thickBot="1" x14ac:dyDescent="0.25">
      <c r="A91" s="211">
        <v>15001</v>
      </c>
      <c r="B91" s="212" t="s">
        <v>232</v>
      </c>
      <c r="C91" s="213">
        <v>152</v>
      </c>
      <c r="D91" s="213">
        <v>161</v>
      </c>
      <c r="E91" s="213">
        <v>177</v>
      </c>
      <c r="F91" s="213">
        <v>171</v>
      </c>
      <c r="G91" s="213">
        <v>160</v>
      </c>
      <c r="H91" s="213">
        <v>138</v>
      </c>
      <c r="I91" s="213">
        <v>148</v>
      </c>
      <c r="J91" s="213">
        <v>128</v>
      </c>
      <c r="K91" s="213">
        <v>122</v>
      </c>
      <c r="L91" s="213">
        <v>122</v>
      </c>
    </row>
    <row r="92" spans="1:12" s="214" customFormat="1" ht="13.5" thickBot="1" x14ac:dyDescent="0.25">
      <c r="A92" s="211">
        <v>15002</v>
      </c>
      <c r="B92" s="212" t="s">
        <v>233</v>
      </c>
      <c r="C92" s="213">
        <v>465</v>
      </c>
      <c r="D92" s="213">
        <v>457.5</v>
      </c>
      <c r="E92" s="213">
        <v>441.36</v>
      </c>
      <c r="F92" s="213">
        <v>444.87</v>
      </c>
      <c r="G92" s="213">
        <v>433.5</v>
      </c>
      <c r="H92" s="213">
        <v>442.5</v>
      </c>
      <c r="I92" s="213">
        <v>416</v>
      </c>
      <c r="J92" s="213">
        <v>421.67</v>
      </c>
      <c r="K92" s="213">
        <v>408.4</v>
      </c>
      <c r="L92" s="213">
        <v>429.4</v>
      </c>
    </row>
    <row r="93" spans="1:12" s="214" customFormat="1" ht="13.5" thickBot="1" x14ac:dyDescent="0.25">
      <c r="A93" s="211">
        <v>46001</v>
      </c>
      <c r="B93" s="212" t="s">
        <v>234</v>
      </c>
      <c r="C93" s="213">
        <v>2681.76</v>
      </c>
      <c r="D93" s="213">
        <v>2832.79</v>
      </c>
      <c r="E93" s="213">
        <v>2825.25</v>
      </c>
      <c r="F93" s="213">
        <v>2878.35</v>
      </c>
      <c r="G93" s="213">
        <v>2967.04</v>
      </c>
      <c r="H93" s="213">
        <v>3003.11</v>
      </c>
      <c r="I93" s="213">
        <v>3080.14</v>
      </c>
      <c r="J93" s="213">
        <v>3059.81</v>
      </c>
      <c r="K93" s="213">
        <v>3028.37</v>
      </c>
      <c r="L93" s="213">
        <v>3028.77</v>
      </c>
    </row>
    <row r="94" spans="1:12" s="214" customFormat="1" ht="13.5" thickBot="1" x14ac:dyDescent="0.25">
      <c r="A94" s="211">
        <v>33002</v>
      </c>
      <c r="B94" s="212" t="s">
        <v>235</v>
      </c>
      <c r="C94" s="213">
        <v>281</v>
      </c>
      <c r="D94" s="213">
        <v>280</v>
      </c>
      <c r="E94" s="213">
        <v>280</v>
      </c>
      <c r="F94" s="213">
        <v>277</v>
      </c>
      <c r="G94" s="213">
        <v>271</v>
      </c>
      <c r="H94" s="213">
        <v>283</v>
      </c>
      <c r="I94" s="213">
        <v>270</v>
      </c>
      <c r="J94" s="213">
        <v>275</v>
      </c>
      <c r="K94" s="213">
        <v>251</v>
      </c>
      <c r="L94" s="213">
        <v>252</v>
      </c>
    </row>
    <row r="95" spans="1:12" s="214" customFormat="1" ht="13.5" thickBot="1" x14ac:dyDescent="0.25">
      <c r="A95" s="211">
        <v>25004</v>
      </c>
      <c r="B95" s="212" t="s">
        <v>236</v>
      </c>
      <c r="C95" s="213">
        <v>908.8</v>
      </c>
      <c r="D95" s="213">
        <v>932.3</v>
      </c>
      <c r="E95" s="213">
        <v>958.25</v>
      </c>
      <c r="F95" s="213">
        <v>987.2</v>
      </c>
      <c r="G95" s="213">
        <v>991.99</v>
      </c>
      <c r="H95" s="213">
        <v>978.98</v>
      </c>
      <c r="I95" s="213">
        <v>970.46</v>
      </c>
      <c r="J95" s="213">
        <v>1006.97</v>
      </c>
      <c r="K95" s="213">
        <v>1009.17</v>
      </c>
      <c r="L95" s="213">
        <v>974.83</v>
      </c>
    </row>
    <row r="96" spans="1:12" s="214" customFormat="1" ht="13.5" thickBot="1" x14ac:dyDescent="0.25">
      <c r="A96" s="211">
        <v>29004</v>
      </c>
      <c r="B96" s="212" t="s">
        <v>303</v>
      </c>
      <c r="C96" s="213">
        <v>457.07</v>
      </c>
      <c r="D96" s="213">
        <v>456.2</v>
      </c>
      <c r="E96" s="213">
        <v>465.05</v>
      </c>
      <c r="F96" s="213">
        <v>453.04</v>
      </c>
      <c r="G96" s="213">
        <v>443.01</v>
      </c>
      <c r="H96" s="213">
        <v>424.03</v>
      </c>
      <c r="I96" s="213">
        <v>447</v>
      </c>
      <c r="J96" s="213">
        <v>457.02</v>
      </c>
      <c r="K96" s="213">
        <v>470.03</v>
      </c>
      <c r="L96" s="213">
        <v>483.54</v>
      </c>
    </row>
    <row r="97" spans="1:12" s="214" customFormat="1" ht="13.5" thickBot="1" x14ac:dyDescent="0.25">
      <c r="A97" s="211">
        <v>17002</v>
      </c>
      <c r="B97" s="212" t="s">
        <v>238</v>
      </c>
      <c r="C97" s="213">
        <v>2785.05</v>
      </c>
      <c r="D97" s="213">
        <v>2783.9</v>
      </c>
      <c r="E97" s="213">
        <v>2791.14</v>
      </c>
      <c r="F97" s="213">
        <v>2795.95</v>
      </c>
      <c r="G97" s="213">
        <v>2783.6400000000003</v>
      </c>
      <c r="H97" s="213">
        <v>2801.72</v>
      </c>
      <c r="I97" s="213">
        <v>2747.4</v>
      </c>
      <c r="J97" s="213">
        <v>2729.9</v>
      </c>
      <c r="K97" s="213">
        <v>2732.77</v>
      </c>
      <c r="L97" s="213">
        <v>2636.43</v>
      </c>
    </row>
    <row r="98" spans="1:12" s="214" customFormat="1" ht="13.5" thickBot="1" x14ac:dyDescent="0.25">
      <c r="A98" s="211">
        <v>62006</v>
      </c>
      <c r="B98" s="212" t="s">
        <v>239</v>
      </c>
      <c r="C98" s="213">
        <v>682.26</v>
      </c>
      <c r="D98" s="213">
        <v>660.42</v>
      </c>
      <c r="E98" s="213">
        <v>627.02</v>
      </c>
      <c r="F98" s="213">
        <v>618.41999999999996</v>
      </c>
      <c r="G98" s="213">
        <v>603.86</v>
      </c>
      <c r="H98" s="213">
        <v>621.14</v>
      </c>
      <c r="I98" s="213">
        <v>621</v>
      </c>
      <c r="J98" s="213">
        <v>575</v>
      </c>
      <c r="K98" s="213">
        <v>593.14</v>
      </c>
      <c r="L98" s="213">
        <v>598.72</v>
      </c>
    </row>
    <row r="99" spans="1:12" s="214" customFormat="1" ht="13.5" thickBot="1" x14ac:dyDescent="0.25">
      <c r="A99" s="211">
        <v>43002</v>
      </c>
      <c r="B99" s="212" t="s">
        <v>240</v>
      </c>
      <c r="C99" s="213">
        <v>239</v>
      </c>
      <c r="D99" s="213">
        <v>244</v>
      </c>
      <c r="E99" s="213">
        <v>249</v>
      </c>
      <c r="F99" s="213">
        <v>239</v>
      </c>
      <c r="G99" s="213">
        <v>245</v>
      </c>
      <c r="H99" s="213">
        <v>236</v>
      </c>
      <c r="I99" s="213">
        <v>243</v>
      </c>
      <c r="J99" s="213">
        <v>253.12</v>
      </c>
      <c r="K99" s="213">
        <v>255</v>
      </c>
      <c r="L99" s="213">
        <v>257</v>
      </c>
    </row>
    <row r="100" spans="1:12" s="214" customFormat="1" ht="13.5" thickBot="1" x14ac:dyDescent="0.25">
      <c r="A100" s="211">
        <v>17003</v>
      </c>
      <c r="B100" s="212" t="s">
        <v>241</v>
      </c>
      <c r="C100" s="213">
        <v>205</v>
      </c>
      <c r="D100" s="213">
        <v>200</v>
      </c>
      <c r="E100" s="213">
        <v>215</v>
      </c>
      <c r="F100" s="213">
        <v>213</v>
      </c>
      <c r="G100" s="213">
        <v>228</v>
      </c>
      <c r="H100" s="213">
        <v>220.2</v>
      </c>
      <c r="I100" s="213">
        <v>256</v>
      </c>
      <c r="J100" s="213">
        <v>261</v>
      </c>
      <c r="K100" s="213">
        <v>251</v>
      </c>
      <c r="L100" s="213">
        <v>244</v>
      </c>
    </row>
    <row r="101" spans="1:12" s="214" customFormat="1" ht="13.5" thickBot="1" x14ac:dyDescent="0.25">
      <c r="A101" s="211">
        <v>51003</v>
      </c>
      <c r="B101" s="212" t="s">
        <v>242</v>
      </c>
      <c r="C101" s="213">
        <v>258</v>
      </c>
      <c r="D101" s="213">
        <v>246</v>
      </c>
      <c r="E101" s="213">
        <v>237</v>
      </c>
      <c r="F101" s="213">
        <v>237</v>
      </c>
      <c r="G101" s="213">
        <v>249</v>
      </c>
      <c r="H101" s="213">
        <v>268</v>
      </c>
      <c r="I101" s="213">
        <v>287</v>
      </c>
      <c r="J101" s="213">
        <v>291</v>
      </c>
      <c r="K101" s="213">
        <v>274</v>
      </c>
      <c r="L101" s="213">
        <v>280.08</v>
      </c>
    </row>
    <row r="102" spans="1:12" s="214" customFormat="1" ht="13.5" thickBot="1" x14ac:dyDescent="0.25">
      <c r="A102" s="211">
        <v>9002</v>
      </c>
      <c r="B102" s="212" t="s">
        <v>243</v>
      </c>
      <c r="C102" s="213">
        <v>288.72000000000003</v>
      </c>
      <c r="D102" s="213">
        <v>297.47000000000003</v>
      </c>
      <c r="E102" s="213">
        <v>292</v>
      </c>
      <c r="F102" s="213">
        <v>285</v>
      </c>
      <c r="G102" s="213">
        <v>259.38</v>
      </c>
      <c r="H102" s="213">
        <v>255.49</v>
      </c>
      <c r="I102" s="213">
        <v>247.47</v>
      </c>
      <c r="J102" s="213">
        <v>269</v>
      </c>
      <c r="K102" s="213">
        <v>223.91</v>
      </c>
      <c r="L102" s="213">
        <v>215</v>
      </c>
    </row>
    <row r="103" spans="1:12" s="214" customFormat="1" ht="13.5" thickBot="1" x14ac:dyDescent="0.25">
      <c r="A103" s="211">
        <v>56007</v>
      </c>
      <c r="B103" s="212" t="s">
        <v>244</v>
      </c>
      <c r="C103" s="213">
        <v>243</v>
      </c>
      <c r="D103" s="213">
        <v>227</v>
      </c>
      <c r="E103" s="213">
        <v>254</v>
      </c>
      <c r="F103" s="213">
        <v>266</v>
      </c>
      <c r="G103" s="213">
        <v>296</v>
      </c>
      <c r="H103" s="213">
        <v>309</v>
      </c>
      <c r="I103" s="213">
        <v>303</v>
      </c>
      <c r="J103" s="213">
        <v>318.60000000000002</v>
      </c>
      <c r="K103" s="213">
        <v>346.1</v>
      </c>
      <c r="L103" s="213">
        <v>374.1</v>
      </c>
    </row>
    <row r="104" spans="1:12" s="214" customFormat="1" ht="13.5" thickBot="1" x14ac:dyDescent="0.25">
      <c r="A104" s="211">
        <v>23003</v>
      </c>
      <c r="B104" s="212" t="s">
        <v>245</v>
      </c>
      <c r="C104" s="213">
        <v>98</v>
      </c>
      <c r="D104" s="213">
        <v>136</v>
      </c>
      <c r="E104" s="213">
        <v>134</v>
      </c>
      <c r="F104" s="213">
        <v>136</v>
      </c>
      <c r="G104" s="213">
        <v>121</v>
      </c>
      <c r="H104" s="213">
        <v>128</v>
      </c>
      <c r="I104" s="213">
        <v>139</v>
      </c>
      <c r="J104" s="213">
        <v>115</v>
      </c>
      <c r="K104" s="213">
        <v>106</v>
      </c>
      <c r="L104" s="213">
        <v>113</v>
      </c>
    </row>
    <row r="105" spans="1:12" s="214" customFormat="1" ht="13.5" thickBot="1" x14ac:dyDescent="0.25">
      <c r="A105" s="211">
        <v>65001</v>
      </c>
      <c r="B105" s="212" t="s">
        <v>295</v>
      </c>
      <c r="C105" s="213">
        <v>1438.18</v>
      </c>
      <c r="D105" s="213">
        <v>1402.8</v>
      </c>
      <c r="E105" s="213">
        <v>1371.56</v>
      </c>
      <c r="F105" s="213">
        <v>1314.96</v>
      </c>
      <c r="G105" s="213">
        <v>1287.8400000000001</v>
      </c>
      <c r="H105" s="213">
        <v>1757.26</v>
      </c>
      <c r="I105" s="213">
        <v>1752.6</v>
      </c>
      <c r="J105" s="213">
        <v>1727.9</v>
      </c>
      <c r="K105" s="213">
        <v>1782.3</v>
      </c>
      <c r="L105" s="213">
        <v>1632.22</v>
      </c>
    </row>
    <row r="106" spans="1:12" s="214" customFormat="1" ht="13.5" thickBot="1" x14ac:dyDescent="0.25">
      <c r="A106" s="211">
        <v>39006</v>
      </c>
      <c r="B106" s="212" t="s">
        <v>422</v>
      </c>
      <c r="C106" s="213"/>
      <c r="D106" s="213"/>
      <c r="E106" s="213"/>
      <c r="F106" s="213"/>
      <c r="G106" s="213"/>
      <c r="H106" s="213"/>
      <c r="I106" s="213"/>
      <c r="J106" s="213"/>
      <c r="K106" s="213">
        <v>312</v>
      </c>
      <c r="L106" s="213">
        <v>274</v>
      </c>
    </row>
    <row r="107" spans="1:12" s="214" customFormat="1" ht="13.5" thickBot="1" x14ac:dyDescent="0.25">
      <c r="A107" s="211">
        <v>60004</v>
      </c>
      <c r="B107" s="212" t="s">
        <v>248</v>
      </c>
      <c r="C107" s="213">
        <v>392.4</v>
      </c>
      <c r="D107" s="213">
        <v>419</v>
      </c>
      <c r="E107" s="213">
        <v>442</v>
      </c>
      <c r="F107" s="213">
        <v>437</v>
      </c>
      <c r="G107" s="213">
        <v>462</v>
      </c>
      <c r="H107" s="213">
        <v>477</v>
      </c>
      <c r="I107" s="213">
        <v>481.2</v>
      </c>
      <c r="J107" s="213">
        <v>485</v>
      </c>
      <c r="K107" s="213">
        <v>462.91</v>
      </c>
      <c r="L107" s="213">
        <v>453.78</v>
      </c>
    </row>
    <row r="108" spans="1:12" s="214" customFormat="1" ht="13.5" thickBot="1" x14ac:dyDescent="0.25">
      <c r="A108" s="211">
        <v>33003</v>
      </c>
      <c r="B108" s="212" t="s">
        <v>249</v>
      </c>
      <c r="C108" s="213">
        <v>530.77</v>
      </c>
      <c r="D108" s="213">
        <v>516.69000000000005</v>
      </c>
      <c r="E108" s="213">
        <v>521.03</v>
      </c>
      <c r="F108" s="213">
        <v>534</v>
      </c>
      <c r="G108" s="213">
        <v>542</v>
      </c>
      <c r="H108" s="213">
        <v>529</v>
      </c>
      <c r="I108" s="213">
        <v>514.4</v>
      </c>
      <c r="J108" s="213">
        <v>544.1</v>
      </c>
      <c r="K108" s="213">
        <v>543.1</v>
      </c>
      <c r="L108" s="213">
        <v>535.20000000000005</v>
      </c>
    </row>
    <row r="109" spans="1:12" s="214" customFormat="1" ht="13.5" thickBot="1" x14ac:dyDescent="0.25">
      <c r="A109" s="211">
        <v>32002</v>
      </c>
      <c r="B109" s="212" t="s">
        <v>250</v>
      </c>
      <c r="C109" s="213">
        <v>2664.56</v>
      </c>
      <c r="D109" s="213">
        <v>2682.24</v>
      </c>
      <c r="E109" s="213">
        <v>2716.42</v>
      </c>
      <c r="F109" s="213">
        <v>2669</v>
      </c>
      <c r="G109" s="213">
        <v>2789.66</v>
      </c>
      <c r="H109" s="213">
        <v>2778.97</v>
      </c>
      <c r="I109" s="213">
        <v>2815.88</v>
      </c>
      <c r="J109" s="213">
        <v>2779.44</v>
      </c>
      <c r="K109" s="213">
        <v>2699.13</v>
      </c>
      <c r="L109" s="213">
        <v>2761.1</v>
      </c>
    </row>
    <row r="110" spans="1:12" s="214" customFormat="1" ht="13.5" thickBot="1" x14ac:dyDescent="0.25">
      <c r="A110" s="211">
        <v>1001</v>
      </c>
      <c r="B110" s="212" t="s">
        <v>251</v>
      </c>
      <c r="C110" s="213">
        <v>338</v>
      </c>
      <c r="D110" s="213">
        <v>309</v>
      </c>
      <c r="E110" s="213">
        <v>299</v>
      </c>
      <c r="F110" s="213">
        <v>341</v>
      </c>
      <c r="G110" s="213">
        <v>317</v>
      </c>
      <c r="H110" s="213">
        <v>279</v>
      </c>
      <c r="I110" s="213">
        <v>286</v>
      </c>
      <c r="J110" s="213">
        <v>268</v>
      </c>
      <c r="K110" s="213">
        <v>285</v>
      </c>
      <c r="L110" s="213">
        <v>266.5</v>
      </c>
    </row>
    <row r="111" spans="1:12" s="214" customFormat="1" ht="13.5" thickBot="1" x14ac:dyDescent="0.25">
      <c r="A111" s="211">
        <v>11005</v>
      </c>
      <c r="B111" s="212" t="s">
        <v>252</v>
      </c>
      <c r="C111" s="213">
        <v>484.05</v>
      </c>
      <c r="D111" s="213">
        <v>500.08</v>
      </c>
      <c r="E111" s="213">
        <v>503.4</v>
      </c>
      <c r="F111" s="213">
        <v>503.37</v>
      </c>
      <c r="G111" s="213">
        <v>501.71</v>
      </c>
      <c r="H111" s="213">
        <v>504.2</v>
      </c>
      <c r="I111" s="213">
        <v>500.63</v>
      </c>
      <c r="J111" s="213">
        <v>512.65</v>
      </c>
      <c r="K111" s="213">
        <v>513</v>
      </c>
      <c r="L111" s="213">
        <v>524.45000000000005</v>
      </c>
    </row>
    <row r="112" spans="1:12" s="214" customFormat="1" ht="13.5" thickBot="1" x14ac:dyDescent="0.25">
      <c r="A112" s="211">
        <v>51004</v>
      </c>
      <c r="B112" s="212" t="s">
        <v>253</v>
      </c>
      <c r="C112" s="213">
        <v>13638.6</v>
      </c>
      <c r="D112" s="213">
        <v>13656.02</v>
      </c>
      <c r="E112" s="213">
        <v>13628.25</v>
      </c>
      <c r="F112" s="213">
        <v>13679.67</v>
      </c>
      <c r="G112" s="213">
        <v>13483.95</v>
      </c>
      <c r="H112" s="213">
        <v>12671.53</v>
      </c>
      <c r="I112" s="213">
        <v>12711.2</v>
      </c>
      <c r="J112" s="213">
        <v>12665.26</v>
      </c>
      <c r="K112" s="213">
        <v>12419.76</v>
      </c>
      <c r="L112" s="213">
        <v>12194.82</v>
      </c>
    </row>
    <row r="113" spans="1:12" s="214" customFormat="1" ht="13.5" thickBot="1" x14ac:dyDescent="0.25">
      <c r="A113" s="211">
        <v>56004</v>
      </c>
      <c r="B113" s="212" t="s">
        <v>254</v>
      </c>
      <c r="C113" s="213">
        <v>600.54999999999995</v>
      </c>
      <c r="D113" s="213">
        <v>617.35</v>
      </c>
      <c r="E113" s="213">
        <v>592.05999999999995</v>
      </c>
      <c r="F113" s="213">
        <v>591.65</v>
      </c>
      <c r="G113" s="213">
        <v>584.4</v>
      </c>
      <c r="H113" s="213">
        <v>560.15</v>
      </c>
      <c r="I113" s="213">
        <v>547.20000000000005</v>
      </c>
      <c r="J113" s="213">
        <v>529.1</v>
      </c>
      <c r="K113" s="213">
        <v>510.15</v>
      </c>
      <c r="L113" s="213">
        <v>499.45</v>
      </c>
    </row>
    <row r="114" spans="1:12" s="214" customFormat="1" ht="13.5" thickBot="1" x14ac:dyDescent="0.25">
      <c r="A114" s="211">
        <v>54004</v>
      </c>
      <c r="B114" s="212" t="s">
        <v>255</v>
      </c>
      <c r="C114" s="213">
        <v>230</v>
      </c>
      <c r="D114" s="213">
        <v>229</v>
      </c>
      <c r="E114" s="213">
        <v>244</v>
      </c>
      <c r="F114" s="213">
        <v>249</v>
      </c>
      <c r="G114" s="213">
        <v>243</v>
      </c>
      <c r="H114" s="213">
        <v>241</v>
      </c>
      <c r="I114" s="213">
        <v>242</v>
      </c>
      <c r="J114" s="213">
        <v>232</v>
      </c>
      <c r="K114" s="213">
        <v>228</v>
      </c>
      <c r="L114" s="213">
        <v>225</v>
      </c>
    </row>
    <row r="115" spans="1:12" s="214" customFormat="1" ht="13.5" thickBot="1" x14ac:dyDescent="0.25">
      <c r="A115" s="211">
        <v>55005</v>
      </c>
      <c r="B115" s="212" t="s">
        <v>257</v>
      </c>
      <c r="C115" s="213">
        <v>183</v>
      </c>
      <c r="D115" s="213">
        <v>190</v>
      </c>
      <c r="E115" s="213">
        <v>180</v>
      </c>
      <c r="F115" s="213">
        <v>189</v>
      </c>
      <c r="G115" s="213">
        <v>179</v>
      </c>
      <c r="H115" s="213">
        <v>184</v>
      </c>
      <c r="I115" s="213">
        <v>207</v>
      </c>
      <c r="J115" s="213">
        <v>200</v>
      </c>
      <c r="K115" s="213">
        <v>198</v>
      </c>
      <c r="L115" s="213">
        <v>205</v>
      </c>
    </row>
    <row r="116" spans="1:12" s="214" customFormat="1" ht="13.5" thickBot="1" x14ac:dyDescent="0.25">
      <c r="A116" s="211">
        <v>4003</v>
      </c>
      <c r="B116" s="212" t="s">
        <v>258</v>
      </c>
      <c r="C116" s="213">
        <v>252</v>
      </c>
      <c r="D116" s="213">
        <v>267</v>
      </c>
      <c r="E116" s="213">
        <v>266</v>
      </c>
      <c r="F116" s="213">
        <v>253</v>
      </c>
      <c r="G116" s="213">
        <v>256</v>
      </c>
      <c r="H116" s="213">
        <v>253</v>
      </c>
      <c r="I116" s="213">
        <v>261</v>
      </c>
      <c r="J116" s="213">
        <v>267.88</v>
      </c>
      <c r="K116" s="213">
        <v>254.42</v>
      </c>
      <c r="L116" s="213">
        <v>241.39</v>
      </c>
    </row>
    <row r="117" spans="1:12" s="214" customFormat="1" ht="13.5" thickBot="1" x14ac:dyDescent="0.25">
      <c r="A117" s="211">
        <v>62005</v>
      </c>
      <c r="B117" s="212" t="s">
        <v>294</v>
      </c>
      <c r="C117" s="213">
        <v>177</v>
      </c>
      <c r="D117" s="213">
        <v>193</v>
      </c>
      <c r="E117" s="213">
        <v>184</v>
      </c>
      <c r="F117" s="213">
        <v>183</v>
      </c>
      <c r="G117" s="213">
        <v>173</v>
      </c>
      <c r="H117" s="213">
        <v>166</v>
      </c>
      <c r="I117" s="213">
        <v>170</v>
      </c>
      <c r="J117" s="213">
        <v>173</v>
      </c>
      <c r="K117" s="213">
        <v>176</v>
      </c>
      <c r="L117" s="213">
        <v>181</v>
      </c>
    </row>
    <row r="118" spans="1:12" s="214" customFormat="1" ht="13.5" thickBot="1" x14ac:dyDescent="0.25">
      <c r="A118" s="211">
        <v>49005</v>
      </c>
      <c r="B118" s="212" t="s">
        <v>260</v>
      </c>
      <c r="C118" s="213">
        <v>23354.89</v>
      </c>
      <c r="D118" s="213">
        <v>23744.41</v>
      </c>
      <c r="E118" s="213">
        <v>23924.25</v>
      </c>
      <c r="F118" s="213">
        <v>24024.78</v>
      </c>
      <c r="G118" s="213">
        <v>24331.31</v>
      </c>
      <c r="H118" s="213">
        <v>24009.49</v>
      </c>
      <c r="I118" s="213">
        <v>24080.560000000001</v>
      </c>
      <c r="J118" s="213">
        <v>24343.57</v>
      </c>
      <c r="K118" s="213">
        <v>24447.69</v>
      </c>
      <c r="L118" s="213">
        <v>24330.61</v>
      </c>
    </row>
    <row r="119" spans="1:12" s="214" customFormat="1" ht="13.5" thickBot="1" x14ac:dyDescent="0.25">
      <c r="A119" s="211">
        <v>5005</v>
      </c>
      <c r="B119" s="212" t="s">
        <v>261</v>
      </c>
      <c r="C119" s="213">
        <v>643.42999999999995</v>
      </c>
      <c r="D119" s="213">
        <v>674.85</v>
      </c>
      <c r="E119" s="213">
        <v>659.05</v>
      </c>
      <c r="F119" s="213">
        <v>682.67</v>
      </c>
      <c r="G119" s="213">
        <v>673.28</v>
      </c>
      <c r="H119" s="213">
        <v>670.76</v>
      </c>
      <c r="I119" s="213">
        <v>692.5</v>
      </c>
      <c r="J119" s="213">
        <v>741.63</v>
      </c>
      <c r="K119" s="213">
        <v>724.6</v>
      </c>
      <c r="L119" s="213">
        <v>743.88</v>
      </c>
    </row>
    <row r="120" spans="1:12" s="214" customFormat="1" ht="13.5" thickBot="1" x14ac:dyDescent="0.25">
      <c r="A120" s="211">
        <v>54002</v>
      </c>
      <c r="B120" s="212" t="s">
        <v>262</v>
      </c>
      <c r="C120" s="213">
        <v>904</v>
      </c>
      <c r="D120" s="213">
        <v>894</v>
      </c>
      <c r="E120" s="213">
        <v>885</v>
      </c>
      <c r="F120" s="213">
        <v>897</v>
      </c>
      <c r="G120" s="213">
        <v>959</v>
      </c>
      <c r="H120" s="213">
        <v>918.56</v>
      </c>
      <c r="I120" s="213">
        <v>933.23</v>
      </c>
      <c r="J120" s="213">
        <v>959.38</v>
      </c>
      <c r="K120" s="213">
        <v>949</v>
      </c>
      <c r="L120" s="213">
        <v>954.15</v>
      </c>
    </row>
    <row r="121" spans="1:12" s="214" customFormat="1" ht="13.5" thickBot="1" x14ac:dyDescent="0.25">
      <c r="A121" s="211">
        <v>15003</v>
      </c>
      <c r="B121" s="212" t="s">
        <v>263</v>
      </c>
      <c r="C121" s="213">
        <v>164</v>
      </c>
      <c r="D121" s="213">
        <v>173</v>
      </c>
      <c r="E121" s="213">
        <v>197</v>
      </c>
      <c r="F121" s="213">
        <v>179</v>
      </c>
      <c r="G121" s="213">
        <v>196</v>
      </c>
      <c r="H121" s="213">
        <v>198</v>
      </c>
      <c r="I121" s="213">
        <v>174.4</v>
      </c>
      <c r="J121" s="213">
        <v>189</v>
      </c>
      <c r="K121" s="213">
        <v>183</v>
      </c>
      <c r="L121" s="213">
        <v>175</v>
      </c>
    </row>
    <row r="122" spans="1:12" s="214" customFormat="1" ht="13.5" thickBot="1" x14ac:dyDescent="0.25">
      <c r="A122" s="211">
        <v>26005</v>
      </c>
      <c r="B122" s="212" t="s">
        <v>264</v>
      </c>
      <c r="C122" s="213">
        <v>107</v>
      </c>
      <c r="D122" s="213">
        <v>97</v>
      </c>
      <c r="E122" s="213">
        <v>98</v>
      </c>
      <c r="F122" s="213">
        <v>86</v>
      </c>
      <c r="G122" s="213">
        <v>79</v>
      </c>
      <c r="H122" s="213">
        <v>57</v>
      </c>
      <c r="I122" s="213">
        <v>70</v>
      </c>
      <c r="J122" s="213">
        <v>70</v>
      </c>
      <c r="K122" s="213">
        <v>83</v>
      </c>
      <c r="L122" s="213">
        <v>79.069999999999993</v>
      </c>
    </row>
    <row r="123" spans="1:12" s="214" customFormat="1" ht="13.5" thickBot="1" x14ac:dyDescent="0.25">
      <c r="A123" s="211">
        <v>40002</v>
      </c>
      <c r="B123" s="212" t="s">
        <v>265</v>
      </c>
      <c r="C123" s="213">
        <v>2237.0100000000002</v>
      </c>
      <c r="D123" s="213">
        <v>2327.85</v>
      </c>
      <c r="E123" s="213">
        <v>2398.14</v>
      </c>
      <c r="F123" s="213">
        <v>2390.0700000000002</v>
      </c>
      <c r="G123" s="213">
        <v>2394.1999999999998</v>
      </c>
      <c r="H123" s="213">
        <v>2361.48</v>
      </c>
      <c r="I123" s="213">
        <v>2414.98</v>
      </c>
      <c r="J123" s="213">
        <v>2437.7199999999998</v>
      </c>
      <c r="K123" s="213">
        <v>2403.7399999999998</v>
      </c>
      <c r="L123" s="213">
        <v>2403.75</v>
      </c>
    </row>
    <row r="124" spans="1:12" s="214" customFormat="1" ht="13.5" thickBot="1" x14ac:dyDescent="0.25">
      <c r="A124" s="211">
        <v>57001</v>
      </c>
      <c r="B124" s="212" t="s">
        <v>266</v>
      </c>
      <c r="C124" s="213">
        <v>427</v>
      </c>
      <c r="D124" s="213">
        <v>436</v>
      </c>
      <c r="E124" s="213">
        <v>449</v>
      </c>
      <c r="F124" s="213">
        <v>435.86</v>
      </c>
      <c r="G124" s="213">
        <v>406</v>
      </c>
      <c r="H124" s="213">
        <v>415</v>
      </c>
      <c r="I124" s="213">
        <v>416</v>
      </c>
      <c r="J124" s="213">
        <v>417.8</v>
      </c>
      <c r="K124" s="213">
        <v>421.22</v>
      </c>
      <c r="L124" s="213">
        <v>436.58</v>
      </c>
    </row>
    <row r="125" spans="1:12" s="214" customFormat="1" ht="13.5" thickBot="1" x14ac:dyDescent="0.25">
      <c r="A125" s="211">
        <v>54006</v>
      </c>
      <c r="B125" s="212" t="s">
        <v>267</v>
      </c>
      <c r="C125" s="213">
        <v>153</v>
      </c>
      <c r="D125" s="213">
        <v>143</v>
      </c>
      <c r="E125" s="213">
        <v>150</v>
      </c>
      <c r="F125" s="213">
        <v>158</v>
      </c>
      <c r="G125" s="213">
        <v>171.15</v>
      </c>
      <c r="H125" s="213">
        <v>176</v>
      </c>
      <c r="I125" s="213">
        <v>165</v>
      </c>
      <c r="J125" s="213">
        <v>174</v>
      </c>
      <c r="K125" s="213">
        <v>172</v>
      </c>
      <c r="L125" s="213">
        <v>172</v>
      </c>
    </row>
    <row r="126" spans="1:12" s="214" customFormat="1" ht="13.5" thickBot="1" x14ac:dyDescent="0.25">
      <c r="A126" s="211">
        <v>41005</v>
      </c>
      <c r="B126" s="212" t="s">
        <v>268</v>
      </c>
      <c r="C126" s="213">
        <v>1608.23</v>
      </c>
      <c r="D126" s="213">
        <v>1709.51</v>
      </c>
      <c r="E126" s="213">
        <v>1791.25</v>
      </c>
      <c r="F126" s="213">
        <v>1906.5</v>
      </c>
      <c r="G126" s="213">
        <v>1962.25</v>
      </c>
      <c r="H126" s="213">
        <v>2061.25</v>
      </c>
      <c r="I126" s="213">
        <v>2174.56</v>
      </c>
      <c r="J126" s="213">
        <v>2302.5100000000002</v>
      </c>
      <c r="K126" s="213">
        <v>2428.62</v>
      </c>
      <c r="L126" s="213">
        <v>2537.25</v>
      </c>
    </row>
    <row r="127" spans="1:12" s="214" customFormat="1" ht="13.5" thickBot="1" x14ac:dyDescent="0.25">
      <c r="A127" s="211">
        <v>20003</v>
      </c>
      <c r="B127" s="212" t="s">
        <v>269</v>
      </c>
      <c r="C127" s="213">
        <v>329</v>
      </c>
      <c r="D127" s="213">
        <v>339</v>
      </c>
      <c r="E127" s="213">
        <v>352.29</v>
      </c>
      <c r="F127" s="213">
        <v>335</v>
      </c>
      <c r="G127" s="213">
        <v>349</v>
      </c>
      <c r="H127" s="213">
        <v>334</v>
      </c>
      <c r="I127" s="213">
        <v>339</v>
      </c>
      <c r="J127" s="213">
        <v>341</v>
      </c>
      <c r="K127" s="213">
        <v>369</v>
      </c>
      <c r="L127" s="213">
        <v>351</v>
      </c>
    </row>
    <row r="128" spans="1:12" s="214" customFormat="1" ht="13.5" thickBot="1" x14ac:dyDescent="0.25">
      <c r="A128" s="211">
        <v>66001</v>
      </c>
      <c r="B128" s="212" t="s">
        <v>270</v>
      </c>
      <c r="C128" s="213">
        <v>2024.3</v>
      </c>
      <c r="D128" s="213">
        <v>2042.31</v>
      </c>
      <c r="E128" s="213">
        <v>2060.3000000000002</v>
      </c>
      <c r="F128" s="213">
        <v>2106.8000000000002</v>
      </c>
      <c r="G128" s="213">
        <v>2147.61</v>
      </c>
      <c r="H128" s="213">
        <v>2181.1</v>
      </c>
      <c r="I128" s="213">
        <v>2015.3</v>
      </c>
      <c r="J128" s="213">
        <v>2061.8000000000002</v>
      </c>
      <c r="K128" s="213">
        <v>2058.1</v>
      </c>
      <c r="L128" s="213">
        <v>1988.1</v>
      </c>
    </row>
    <row r="129" spans="1:12" s="214" customFormat="1" ht="13.5" thickBot="1" x14ac:dyDescent="0.25">
      <c r="A129" s="211">
        <v>33005</v>
      </c>
      <c r="B129" s="212" t="s">
        <v>271</v>
      </c>
      <c r="C129" s="213">
        <v>158</v>
      </c>
      <c r="D129" s="213">
        <v>151</v>
      </c>
      <c r="E129" s="213">
        <v>151</v>
      </c>
      <c r="F129" s="213">
        <v>130</v>
      </c>
      <c r="G129" s="213">
        <v>125</v>
      </c>
      <c r="H129" s="213">
        <v>143</v>
      </c>
      <c r="I129" s="213">
        <v>161.01</v>
      </c>
      <c r="J129" s="213">
        <v>160</v>
      </c>
      <c r="K129" s="213">
        <v>146</v>
      </c>
      <c r="L129" s="213">
        <v>154</v>
      </c>
    </row>
    <row r="130" spans="1:12" s="214" customFormat="1" ht="13.5" thickBot="1" x14ac:dyDescent="0.25">
      <c r="A130" s="211">
        <v>49006</v>
      </c>
      <c r="B130" s="212" t="s">
        <v>272</v>
      </c>
      <c r="C130" s="213">
        <v>897</v>
      </c>
      <c r="D130" s="213">
        <v>908</v>
      </c>
      <c r="E130" s="213">
        <v>921</v>
      </c>
      <c r="F130" s="213">
        <v>968</v>
      </c>
      <c r="G130" s="213">
        <v>961</v>
      </c>
      <c r="H130" s="213">
        <v>987</v>
      </c>
      <c r="I130" s="213">
        <v>971.5</v>
      </c>
      <c r="J130" s="213">
        <v>951</v>
      </c>
      <c r="K130" s="213">
        <v>936.38</v>
      </c>
      <c r="L130" s="213">
        <v>956</v>
      </c>
    </row>
    <row r="131" spans="1:12" s="214" customFormat="1" ht="13.5" thickBot="1" x14ac:dyDescent="0.25">
      <c r="A131" s="211">
        <v>13001</v>
      </c>
      <c r="B131" s="212" t="s">
        <v>273</v>
      </c>
      <c r="C131" s="213">
        <v>1204.1199999999999</v>
      </c>
      <c r="D131" s="213">
        <v>1202.3399999999999</v>
      </c>
      <c r="E131" s="213">
        <v>1219.79</v>
      </c>
      <c r="F131" s="213">
        <v>1259.26</v>
      </c>
      <c r="G131" s="213">
        <v>1260.58</v>
      </c>
      <c r="H131" s="213">
        <v>1258.6099999999999</v>
      </c>
      <c r="I131" s="213">
        <v>1344.95</v>
      </c>
      <c r="J131" s="213">
        <v>1389.98</v>
      </c>
      <c r="K131" s="213">
        <v>1393.41</v>
      </c>
      <c r="L131" s="213">
        <v>1346.3</v>
      </c>
    </row>
    <row r="132" spans="1:12" s="214" customFormat="1" ht="13.5" thickBot="1" x14ac:dyDescent="0.25">
      <c r="A132" s="211">
        <v>60006</v>
      </c>
      <c r="B132" s="212" t="s">
        <v>274</v>
      </c>
      <c r="C132" s="213">
        <v>331</v>
      </c>
      <c r="D132" s="213">
        <v>354</v>
      </c>
      <c r="E132" s="213">
        <v>344</v>
      </c>
      <c r="F132" s="213">
        <v>346</v>
      </c>
      <c r="G132" s="213">
        <v>343.7</v>
      </c>
      <c r="H132" s="213">
        <v>349.07</v>
      </c>
      <c r="I132" s="213">
        <v>381.17</v>
      </c>
      <c r="J132" s="213">
        <v>399.21</v>
      </c>
      <c r="K132" s="213">
        <v>384.78</v>
      </c>
      <c r="L132" s="213">
        <v>389.28</v>
      </c>
    </row>
    <row r="133" spans="1:12" s="214" customFormat="1" ht="13.5" thickBot="1" x14ac:dyDescent="0.25">
      <c r="A133" s="211">
        <v>11004</v>
      </c>
      <c r="B133" s="212" t="s">
        <v>293</v>
      </c>
      <c r="C133" s="213">
        <v>831</v>
      </c>
      <c r="D133" s="213">
        <v>852.25</v>
      </c>
      <c r="E133" s="213">
        <v>848.99</v>
      </c>
      <c r="F133" s="213">
        <v>839</v>
      </c>
      <c r="G133" s="213">
        <v>807</v>
      </c>
      <c r="H133" s="213">
        <v>820</v>
      </c>
      <c r="I133" s="213">
        <v>800</v>
      </c>
      <c r="J133" s="213">
        <v>792</v>
      </c>
      <c r="K133" s="213">
        <v>787</v>
      </c>
      <c r="L133" s="213">
        <v>820</v>
      </c>
    </row>
    <row r="134" spans="1:12" s="214" customFormat="1" ht="13.5" thickBot="1" x14ac:dyDescent="0.25">
      <c r="A134" s="211">
        <v>51005</v>
      </c>
      <c r="B134" s="212" t="s">
        <v>276</v>
      </c>
      <c r="C134" s="213">
        <v>255</v>
      </c>
      <c r="D134" s="213">
        <v>245</v>
      </c>
      <c r="E134" s="213">
        <v>257</v>
      </c>
      <c r="F134" s="213">
        <v>271</v>
      </c>
      <c r="G134" s="213">
        <v>284.52999999999997</v>
      </c>
      <c r="H134" s="213">
        <v>276</v>
      </c>
      <c r="I134" s="213">
        <v>268.51</v>
      </c>
      <c r="J134" s="213">
        <v>284</v>
      </c>
      <c r="K134" s="213">
        <v>279.98</v>
      </c>
      <c r="L134" s="213">
        <v>273.88</v>
      </c>
    </row>
    <row r="135" spans="1:12" s="214" customFormat="1" ht="13.5" thickBot="1" x14ac:dyDescent="0.25">
      <c r="A135" s="211">
        <v>6005</v>
      </c>
      <c r="B135" s="212" t="s">
        <v>277</v>
      </c>
      <c r="C135" s="213">
        <v>308</v>
      </c>
      <c r="D135" s="213">
        <v>319</v>
      </c>
      <c r="E135" s="213">
        <v>313</v>
      </c>
      <c r="F135" s="213">
        <v>310</v>
      </c>
      <c r="G135" s="213">
        <v>312.69</v>
      </c>
      <c r="H135" s="213">
        <v>314.88</v>
      </c>
      <c r="I135" s="213">
        <v>315.29000000000002</v>
      </c>
      <c r="J135" s="213">
        <v>313.57</v>
      </c>
      <c r="K135" s="213">
        <v>312</v>
      </c>
      <c r="L135" s="213">
        <v>313</v>
      </c>
    </row>
    <row r="136" spans="1:12" s="214" customFormat="1" ht="13.5" thickBot="1" x14ac:dyDescent="0.25">
      <c r="A136" s="211">
        <v>14004</v>
      </c>
      <c r="B136" s="212" t="s">
        <v>278</v>
      </c>
      <c r="C136" s="213">
        <f>3968.17-1</f>
        <v>3967.17</v>
      </c>
      <c r="D136" s="213">
        <v>3950.12</v>
      </c>
      <c r="E136" s="213">
        <v>3930.72</v>
      </c>
      <c r="F136" s="213">
        <v>3927.97</v>
      </c>
      <c r="G136" s="213">
        <v>3858.69</v>
      </c>
      <c r="H136" s="213">
        <v>3867.9</v>
      </c>
      <c r="I136" s="213">
        <v>3835.73</v>
      </c>
      <c r="J136" s="213">
        <v>3734.21</v>
      </c>
      <c r="K136" s="213">
        <v>3640.52</v>
      </c>
      <c r="L136" s="213">
        <v>3551.34</v>
      </c>
    </row>
    <row r="137" spans="1:12" s="214" customFormat="1" ht="13.5" thickBot="1" x14ac:dyDescent="0.25">
      <c r="A137" s="211">
        <v>18003</v>
      </c>
      <c r="B137" s="212" t="s">
        <v>279</v>
      </c>
      <c r="C137" s="213">
        <v>173</v>
      </c>
      <c r="D137" s="213">
        <v>169</v>
      </c>
      <c r="E137" s="213">
        <v>169</v>
      </c>
      <c r="F137" s="213">
        <v>170</v>
      </c>
      <c r="G137" s="213">
        <v>173</v>
      </c>
      <c r="H137" s="213">
        <v>184</v>
      </c>
      <c r="I137" s="213">
        <v>175</v>
      </c>
      <c r="J137" s="213">
        <v>174</v>
      </c>
      <c r="K137" s="213">
        <v>163</v>
      </c>
      <c r="L137" s="213">
        <v>168</v>
      </c>
    </row>
    <row r="138" spans="1:12" s="214" customFormat="1" ht="13.5" thickBot="1" x14ac:dyDescent="0.25">
      <c r="A138" s="211">
        <v>14005</v>
      </c>
      <c r="B138" s="212" t="s">
        <v>280</v>
      </c>
      <c r="C138" s="213">
        <v>238</v>
      </c>
      <c r="D138" s="213">
        <v>247</v>
      </c>
      <c r="E138" s="213">
        <v>246</v>
      </c>
      <c r="F138" s="213">
        <v>235</v>
      </c>
      <c r="G138" s="213">
        <v>252</v>
      </c>
      <c r="H138" s="213">
        <v>253</v>
      </c>
      <c r="I138" s="213">
        <v>257</v>
      </c>
      <c r="J138" s="213">
        <v>254</v>
      </c>
      <c r="K138" s="213">
        <v>256</v>
      </c>
      <c r="L138" s="213">
        <v>263</v>
      </c>
    </row>
    <row r="139" spans="1:12" s="214" customFormat="1" ht="13.5" thickBot="1" x14ac:dyDescent="0.25">
      <c r="A139" s="211">
        <v>18005</v>
      </c>
      <c r="B139" s="212" t="s">
        <v>281</v>
      </c>
      <c r="C139" s="213">
        <v>513</v>
      </c>
      <c r="D139" s="213">
        <v>558</v>
      </c>
      <c r="E139" s="213">
        <v>537</v>
      </c>
      <c r="F139" s="213">
        <v>542</v>
      </c>
      <c r="G139" s="213">
        <v>528</v>
      </c>
      <c r="H139" s="213">
        <v>504</v>
      </c>
      <c r="I139" s="213">
        <v>534</v>
      </c>
      <c r="J139" s="213">
        <v>527</v>
      </c>
      <c r="K139" s="213">
        <v>532.35</v>
      </c>
      <c r="L139" s="213">
        <v>540</v>
      </c>
    </row>
    <row r="140" spans="1:12" s="214" customFormat="1" ht="13.5" thickBot="1" x14ac:dyDescent="0.25">
      <c r="A140" s="211">
        <v>36002</v>
      </c>
      <c r="B140" s="212" t="s">
        <v>282</v>
      </c>
      <c r="C140" s="213">
        <v>339</v>
      </c>
      <c r="D140" s="213">
        <v>328</v>
      </c>
      <c r="E140" s="213">
        <v>332</v>
      </c>
      <c r="F140" s="213">
        <v>312.18</v>
      </c>
      <c r="G140" s="213">
        <v>321.2</v>
      </c>
      <c r="H140" s="213">
        <v>376.2</v>
      </c>
      <c r="I140" s="213">
        <v>370.6</v>
      </c>
      <c r="J140" s="213">
        <v>402</v>
      </c>
      <c r="K140" s="213">
        <v>413.6</v>
      </c>
      <c r="L140" s="213">
        <v>447.48</v>
      </c>
    </row>
    <row r="141" spans="1:12" s="214" customFormat="1" ht="13.5" thickBot="1" x14ac:dyDescent="0.25">
      <c r="A141" s="211">
        <v>49007</v>
      </c>
      <c r="B141" s="212" t="s">
        <v>283</v>
      </c>
      <c r="C141" s="213">
        <v>1375.93</v>
      </c>
      <c r="D141" s="213">
        <v>1372.56</v>
      </c>
      <c r="E141" s="213">
        <v>1364.2</v>
      </c>
      <c r="F141" s="213">
        <v>1410.25</v>
      </c>
      <c r="G141" s="213">
        <v>1379.4</v>
      </c>
      <c r="H141" s="213">
        <v>1384</v>
      </c>
      <c r="I141" s="213">
        <v>1429</v>
      </c>
      <c r="J141" s="213">
        <v>1428.13</v>
      </c>
      <c r="K141" s="213">
        <v>1422.39</v>
      </c>
      <c r="L141" s="213">
        <v>1431.08</v>
      </c>
    </row>
    <row r="142" spans="1:12" s="214" customFormat="1" ht="13.5" thickBot="1" x14ac:dyDescent="0.25">
      <c r="A142" s="211">
        <v>1003</v>
      </c>
      <c r="B142" s="212" t="s">
        <v>284</v>
      </c>
      <c r="C142" s="213">
        <v>110</v>
      </c>
      <c r="D142" s="213">
        <v>110</v>
      </c>
      <c r="E142" s="213">
        <v>116</v>
      </c>
      <c r="F142" s="213">
        <v>119</v>
      </c>
      <c r="G142" s="213">
        <v>125</v>
      </c>
      <c r="H142" s="213">
        <v>119</v>
      </c>
      <c r="I142" s="213">
        <v>132</v>
      </c>
      <c r="J142" s="213">
        <v>122</v>
      </c>
      <c r="K142" s="213">
        <v>117</v>
      </c>
      <c r="L142" s="213">
        <v>120</v>
      </c>
    </row>
    <row r="143" spans="1:12" s="214" customFormat="1" ht="13.5" thickBot="1" x14ac:dyDescent="0.25">
      <c r="A143" s="211">
        <v>47001</v>
      </c>
      <c r="B143" s="212" t="s">
        <v>285</v>
      </c>
      <c r="C143" s="213">
        <v>400</v>
      </c>
      <c r="D143" s="213">
        <v>418</v>
      </c>
      <c r="E143" s="213">
        <v>404</v>
      </c>
      <c r="F143" s="213">
        <v>412</v>
      </c>
      <c r="G143" s="213">
        <v>381</v>
      </c>
      <c r="H143" s="213">
        <v>383</v>
      </c>
      <c r="I143" s="213">
        <v>384</v>
      </c>
      <c r="J143" s="213">
        <v>401</v>
      </c>
      <c r="K143" s="213">
        <v>402</v>
      </c>
      <c r="L143" s="213">
        <v>402</v>
      </c>
    </row>
    <row r="144" spans="1:12" s="214" customFormat="1" ht="13.5" thickBot="1" x14ac:dyDescent="0.25">
      <c r="A144" s="211">
        <v>12003</v>
      </c>
      <c r="B144" s="212" t="s">
        <v>286</v>
      </c>
      <c r="C144" s="213">
        <v>214</v>
      </c>
      <c r="D144" s="213">
        <v>222</v>
      </c>
      <c r="E144" s="213">
        <v>237</v>
      </c>
      <c r="F144" s="213">
        <v>249</v>
      </c>
      <c r="G144" s="213">
        <v>269</v>
      </c>
      <c r="H144" s="213">
        <v>279</v>
      </c>
      <c r="I144" s="213">
        <v>282</v>
      </c>
      <c r="J144" s="213">
        <v>302</v>
      </c>
      <c r="K144" s="213">
        <v>317</v>
      </c>
      <c r="L144" s="213">
        <v>329</v>
      </c>
    </row>
    <row r="145" spans="1:12" s="214" customFormat="1" ht="13.5" thickBot="1" x14ac:dyDescent="0.25">
      <c r="A145" s="211">
        <v>54007</v>
      </c>
      <c r="B145" s="212" t="s">
        <v>287</v>
      </c>
      <c r="C145" s="213">
        <v>197</v>
      </c>
      <c r="D145" s="213">
        <v>200</v>
      </c>
      <c r="E145" s="213">
        <v>222</v>
      </c>
      <c r="F145" s="213">
        <v>223</v>
      </c>
      <c r="G145" s="213">
        <v>227</v>
      </c>
      <c r="H145" s="213">
        <v>218</v>
      </c>
      <c r="I145" s="213">
        <v>214</v>
      </c>
      <c r="J145" s="213">
        <v>208</v>
      </c>
      <c r="K145" s="213">
        <v>217</v>
      </c>
      <c r="L145" s="213">
        <v>221.43</v>
      </c>
    </row>
    <row r="146" spans="1:12" s="214" customFormat="1" ht="13.5" thickBot="1" x14ac:dyDescent="0.25">
      <c r="A146" s="211">
        <v>59002</v>
      </c>
      <c r="B146" s="212" t="s">
        <v>288</v>
      </c>
      <c r="C146" s="213">
        <v>721</v>
      </c>
      <c r="D146" s="213">
        <v>708</v>
      </c>
      <c r="E146" s="213">
        <v>723</v>
      </c>
      <c r="F146" s="213">
        <v>710</v>
      </c>
      <c r="G146" s="213">
        <v>704</v>
      </c>
      <c r="H146" s="213">
        <v>711</v>
      </c>
      <c r="I146" s="213">
        <v>715</v>
      </c>
      <c r="J146" s="213">
        <v>763</v>
      </c>
      <c r="K146" s="213">
        <v>782</v>
      </c>
      <c r="L146" s="213">
        <v>784</v>
      </c>
    </row>
    <row r="147" spans="1:12" s="214" customFormat="1" ht="13.5" thickBot="1" x14ac:dyDescent="0.25">
      <c r="A147" s="211">
        <v>2006</v>
      </c>
      <c r="B147" s="212" t="s">
        <v>289</v>
      </c>
      <c r="C147" s="213">
        <v>349</v>
      </c>
      <c r="D147" s="213">
        <v>357</v>
      </c>
      <c r="E147" s="213">
        <v>362</v>
      </c>
      <c r="F147" s="213">
        <v>346</v>
      </c>
      <c r="G147" s="213">
        <v>358</v>
      </c>
      <c r="H147" s="213">
        <v>353</v>
      </c>
      <c r="I147" s="213">
        <v>340</v>
      </c>
      <c r="J147" s="213">
        <v>339</v>
      </c>
      <c r="K147" s="213">
        <v>303</v>
      </c>
      <c r="L147" s="213">
        <v>301</v>
      </c>
    </row>
    <row r="148" spans="1:12" s="214" customFormat="1" ht="13.5" thickBot="1" x14ac:dyDescent="0.25">
      <c r="A148" s="211">
        <v>55004</v>
      </c>
      <c r="B148" s="212" t="s">
        <v>290</v>
      </c>
      <c r="C148" s="213">
        <v>204</v>
      </c>
      <c r="D148" s="213">
        <v>218</v>
      </c>
      <c r="E148" s="213">
        <v>233</v>
      </c>
      <c r="F148" s="213">
        <v>245</v>
      </c>
      <c r="G148" s="213">
        <v>243</v>
      </c>
      <c r="H148" s="213">
        <v>251</v>
      </c>
      <c r="I148" s="213">
        <v>258</v>
      </c>
      <c r="J148" s="213">
        <v>256</v>
      </c>
      <c r="K148" s="213">
        <v>249.25</v>
      </c>
      <c r="L148" s="213">
        <v>252</v>
      </c>
    </row>
    <row r="149" spans="1:12" s="214" customFormat="1" ht="13.5" thickBot="1" x14ac:dyDescent="0.25">
      <c r="A149" s="211">
        <v>63003</v>
      </c>
      <c r="B149" s="212" t="s">
        <v>291</v>
      </c>
      <c r="C149" s="213">
        <v>2709.67</v>
      </c>
      <c r="D149" s="213">
        <v>2717.19</v>
      </c>
      <c r="E149" s="213">
        <v>2723.12</v>
      </c>
      <c r="F149" s="213">
        <v>2775.69</v>
      </c>
      <c r="G149" s="213">
        <v>2769.5</v>
      </c>
      <c r="H149" s="213">
        <v>2808.99</v>
      </c>
      <c r="I149" s="213">
        <v>2821.06</v>
      </c>
      <c r="J149" s="213">
        <v>2862.43</v>
      </c>
      <c r="K149" s="213">
        <v>2908.87</v>
      </c>
      <c r="L149" s="213">
        <v>2841.58</v>
      </c>
    </row>
    <row r="150" spans="1:12" s="214" customFormat="1" ht="13.5" hidden="1" thickBot="1" x14ac:dyDescent="0.25">
      <c r="A150" s="215"/>
      <c r="B150" s="216"/>
      <c r="C150" s="217"/>
      <c r="D150" s="217"/>
      <c r="E150" s="217"/>
      <c r="F150" s="217"/>
      <c r="G150" s="217"/>
      <c r="H150" s="217"/>
      <c r="I150" s="217"/>
      <c r="J150" s="217"/>
      <c r="K150" s="217"/>
      <c r="L150" s="217"/>
    </row>
    <row r="151" spans="1:12" s="214" customFormat="1" ht="13.5" hidden="1" thickBot="1" x14ac:dyDescent="0.25">
      <c r="A151" s="211">
        <v>25001</v>
      </c>
      <c r="B151" s="212" t="s">
        <v>154</v>
      </c>
      <c r="C151" s="213">
        <v>91</v>
      </c>
      <c r="D151" s="213">
        <v>96</v>
      </c>
      <c r="E151" s="213">
        <v>90</v>
      </c>
      <c r="F151" s="213">
        <v>91</v>
      </c>
      <c r="G151" s="213">
        <v>89</v>
      </c>
      <c r="H151" s="213">
        <v>70</v>
      </c>
      <c r="I151" s="213">
        <v>86</v>
      </c>
      <c r="J151" s="213">
        <v>74</v>
      </c>
      <c r="K151" s="213">
        <v>77</v>
      </c>
      <c r="L151" s="213">
        <v>72</v>
      </c>
    </row>
    <row r="152" spans="1:12" s="214" customFormat="1" ht="13.5" hidden="1" thickBot="1" x14ac:dyDescent="0.25">
      <c r="A152" s="218">
        <v>25003</v>
      </c>
      <c r="B152" s="219" t="s">
        <v>292</v>
      </c>
      <c r="C152" s="213">
        <v>69</v>
      </c>
      <c r="D152" s="213">
        <v>61</v>
      </c>
      <c r="E152" s="213"/>
      <c r="F152" s="213"/>
      <c r="G152" s="213"/>
      <c r="H152" s="213"/>
      <c r="I152" s="213"/>
      <c r="J152" s="213"/>
      <c r="K152" s="213"/>
      <c r="L152" s="213"/>
    </row>
    <row r="153" spans="1:12" s="214" customFormat="1" ht="13.5" hidden="1" thickBot="1" x14ac:dyDescent="0.25">
      <c r="A153" s="223">
        <v>39005</v>
      </c>
      <c r="B153" s="224" t="s">
        <v>247</v>
      </c>
      <c r="C153" s="225">
        <v>153</v>
      </c>
      <c r="D153" s="225">
        <v>158</v>
      </c>
      <c r="E153" s="225">
        <v>153</v>
      </c>
      <c r="F153" s="225">
        <v>170</v>
      </c>
      <c r="G153" s="225">
        <v>164</v>
      </c>
      <c r="H153" s="225">
        <v>154</v>
      </c>
      <c r="I153" s="225">
        <v>145</v>
      </c>
      <c r="J153" s="225">
        <v>146</v>
      </c>
      <c r="K153" s="213"/>
      <c r="L153" s="213"/>
    </row>
    <row r="154" spans="1:12" s="214" customFormat="1" ht="13.5" hidden="1" thickBot="1" x14ac:dyDescent="0.25">
      <c r="A154" s="223">
        <v>39004</v>
      </c>
      <c r="B154" s="224" t="s">
        <v>256</v>
      </c>
      <c r="C154" s="225">
        <v>157</v>
      </c>
      <c r="D154" s="225">
        <v>163</v>
      </c>
      <c r="E154" s="225">
        <v>176</v>
      </c>
      <c r="F154" s="225">
        <v>187</v>
      </c>
      <c r="G154" s="225">
        <v>175</v>
      </c>
      <c r="H154" s="225">
        <v>176</v>
      </c>
      <c r="I154" s="225">
        <v>189</v>
      </c>
      <c r="J154" s="225">
        <v>183</v>
      </c>
      <c r="K154" s="213"/>
      <c r="L154" s="213"/>
    </row>
    <row r="155" spans="1:12" s="214" customFormat="1" ht="12.75" x14ac:dyDescent="0.2">
      <c r="A155" s="220"/>
      <c r="B155" s="226" t="s">
        <v>302</v>
      </c>
      <c r="C155" s="227">
        <f t="shared" ref="C155:L155" si="0">SUM(C3:C154)</f>
        <v>131221.81</v>
      </c>
      <c r="D155" s="227">
        <f t="shared" si="0"/>
        <v>132876.04</v>
      </c>
      <c r="E155" s="227">
        <f t="shared" si="0"/>
        <v>134186.34</v>
      </c>
      <c r="F155" s="227">
        <f t="shared" si="0"/>
        <v>135316.77999999997</v>
      </c>
      <c r="G155" s="227">
        <f t="shared" si="0"/>
        <v>136519.16999999998</v>
      </c>
      <c r="H155" s="227">
        <f t="shared" si="0"/>
        <v>136280.89999999997</v>
      </c>
      <c r="I155" s="227">
        <f t="shared" si="0"/>
        <v>137692.39999999994</v>
      </c>
      <c r="J155" s="227">
        <f t="shared" si="0"/>
        <v>138448.65000000002</v>
      </c>
      <c r="K155" s="227">
        <f t="shared" si="0"/>
        <v>138280.86000000004</v>
      </c>
      <c r="L155" s="227">
        <f t="shared" si="0"/>
        <v>137793.49</v>
      </c>
    </row>
    <row r="156" spans="1:12" s="214" customFormat="1" ht="12.75" x14ac:dyDescent="0.2">
      <c r="C156" s="221"/>
      <c r="D156" s="221"/>
      <c r="E156" s="221"/>
      <c r="F156" s="221"/>
      <c r="G156" s="221"/>
    </row>
    <row r="157" spans="1:12" s="214" customFormat="1" ht="12.75" x14ac:dyDescent="0.2">
      <c r="C157" s="221"/>
      <c r="D157" s="221"/>
      <c r="E157" s="221"/>
      <c r="F157" s="222"/>
      <c r="G157" s="222"/>
    </row>
    <row r="158" spans="1:12" s="214" customFormat="1" ht="12.75" x14ac:dyDescent="0.2">
      <c r="C158" s="221"/>
      <c r="D158" s="221"/>
      <c r="E158" s="221"/>
      <c r="F158" s="221"/>
      <c r="G158" s="221"/>
      <c r="H158" s="221"/>
      <c r="I158" s="221"/>
    </row>
    <row r="159" spans="1:12" s="214" customFormat="1" ht="12.75" x14ac:dyDescent="0.2">
      <c r="C159" s="221"/>
      <c r="D159" s="221"/>
      <c r="E159" s="221"/>
      <c r="F159" s="221"/>
      <c r="G159" s="221"/>
      <c r="H159" s="221"/>
      <c r="I159" s="221"/>
      <c r="J159" s="221"/>
      <c r="K159" s="221"/>
    </row>
  </sheetData>
  <sheetProtection algorithmName="SHA-512" hashValue="ubn/Wg3/CLZ+wLtHPuhzvhm4j8jP6ZGfOwfoz40+mo7A/pIo0iK1UlacfZxL5yjMuxrL7HWm4puNoEH0eWgTjQ==" saltValue="ODgXqTdF3CRgseA+lsj44A==" spinCount="100000" sheet="1" objects="1" scenarios="1"/>
  <phoneticPr fontId="8" type="noConversion"/>
  <pageMargins left="0.22" right="0.5" top="0.5" bottom="0.55000000000000004" header="0.26" footer="0.18"/>
  <pageSetup scale="61" fitToHeight="0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D7391-8602-45C5-BCE8-B0C18D344B6C}">
  <sheetPr codeName="Sheet3"/>
  <dimension ref="A1:B148"/>
  <sheetViews>
    <sheetView workbookViewId="0"/>
  </sheetViews>
  <sheetFormatPr defaultRowHeight="15" x14ac:dyDescent="0.25"/>
  <cols>
    <col min="1" max="1" width="6" bestFit="1" customWidth="1"/>
    <col min="2" max="2" width="28.140625" bestFit="1" customWidth="1"/>
  </cols>
  <sheetData>
    <row r="1" spans="1:2" x14ac:dyDescent="0.25">
      <c r="A1" s="1" t="s">
        <v>141</v>
      </c>
      <c r="B1" s="1" t="s">
        <v>142</v>
      </c>
    </row>
    <row r="2" spans="1:2" x14ac:dyDescent="0.25">
      <c r="A2" s="2">
        <v>6001</v>
      </c>
      <c r="B2" s="3" t="s">
        <v>143</v>
      </c>
    </row>
    <row r="3" spans="1:2" x14ac:dyDescent="0.25">
      <c r="A3" s="2">
        <v>58003</v>
      </c>
      <c r="B3" s="3" t="s">
        <v>144</v>
      </c>
    </row>
    <row r="4" spans="1:2" x14ac:dyDescent="0.25">
      <c r="A4" s="2">
        <v>61001</v>
      </c>
      <c r="B4" s="3" t="s">
        <v>145</v>
      </c>
    </row>
    <row r="5" spans="1:2" x14ac:dyDescent="0.25">
      <c r="A5" s="2">
        <v>11001</v>
      </c>
      <c r="B5" s="3" t="s">
        <v>146</v>
      </c>
    </row>
    <row r="6" spans="1:2" x14ac:dyDescent="0.25">
      <c r="A6" s="2">
        <v>38001</v>
      </c>
      <c r="B6" s="3" t="s">
        <v>147</v>
      </c>
    </row>
    <row r="7" spans="1:2" x14ac:dyDescent="0.25">
      <c r="A7" s="2">
        <v>21001</v>
      </c>
      <c r="B7" s="3" t="s">
        <v>148</v>
      </c>
    </row>
    <row r="8" spans="1:2" x14ac:dyDescent="0.25">
      <c r="A8" s="2">
        <v>4001</v>
      </c>
      <c r="B8" s="3" t="s">
        <v>149</v>
      </c>
    </row>
    <row r="9" spans="1:2" x14ac:dyDescent="0.25">
      <c r="A9" s="2">
        <v>49001</v>
      </c>
      <c r="B9" s="3" t="s">
        <v>150</v>
      </c>
    </row>
    <row r="10" spans="1:2" x14ac:dyDescent="0.25">
      <c r="A10" s="2">
        <v>9001</v>
      </c>
      <c r="B10" s="3" t="s">
        <v>151</v>
      </c>
    </row>
    <row r="11" spans="1:2" x14ac:dyDescent="0.25">
      <c r="A11" s="2">
        <v>3001</v>
      </c>
      <c r="B11" s="3" t="s">
        <v>152</v>
      </c>
    </row>
    <row r="12" spans="1:2" x14ac:dyDescent="0.25">
      <c r="A12" s="2">
        <v>61002</v>
      </c>
      <c r="B12" s="3" t="s">
        <v>153</v>
      </c>
    </row>
    <row r="13" spans="1:2" x14ac:dyDescent="0.25">
      <c r="A13" s="2">
        <v>52001</v>
      </c>
      <c r="B13" s="3" t="s">
        <v>155</v>
      </c>
    </row>
    <row r="14" spans="1:2" x14ac:dyDescent="0.25">
      <c r="A14" s="2">
        <v>4002</v>
      </c>
      <c r="B14" s="3" t="s">
        <v>156</v>
      </c>
    </row>
    <row r="15" spans="1:2" x14ac:dyDescent="0.25">
      <c r="A15" s="2">
        <v>22001</v>
      </c>
      <c r="B15" s="3" t="s">
        <v>157</v>
      </c>
    </row>
    <row r="16" spans="1:2" x14ac:dyDescent="0.25">
      <c r="A16" s="2">
        <v>49002</v>
      </c>
      <c r="B16" s="3" t="s">
        <v>158</v>
      </c>
    </row>
    <row r="17" spans="1:2" x14ac:dyDescent="0.25">
      <c r="A17" s="2">
        <v>30003</v>
      </c>
      <c r="B17" s="3" t="s">
        <v>159</v>
      </c>
    </row>
    <row r="18" spans="1:2" x14ac:dyDescent="0.25">
      <c r="A18" s="2">
        <v>45004</v>
      </c>
      <c r="B18" s="3" t="s">
        <v>160</v>
      </c>
    </row>
    <row r="19" spans="1:2" x14ac:dyDescent="0.25">
      <c r="A19" s="2">
        <v>5001</v>
      </c>
      <c r="B19" s="3" t="s">
        <v>161</v>
      </c>
    </row>
    <row r="20" spans="1:2" x14ac:dyDescent="0.25">
      <c r="A20" s="2">
        <v>26002</v>
      </c>
      <c r="B20" s="3" t="s">
        <v>162</v>
      </c>
    </row>
    <row r="21" spans="1:2" x14ac:dyDescent="0.25">
      <c r="A21" s="2">
        <v>43001</v>
      </c>
      <c r="B21" s="3" t="s">
        <v>163</v>
      </c>
    </row>
    <row r="22" spans="1:2" x14ac:dyDescent="0.25">
      <c r="A22" s="2">
        <v>41001</v>
      </c>
      <c r="B22" s="3" t="s">
        <v>164</v>
      </c>
    </row>
    <row r="23" spans="1:2" x14ac:dyDescent="0.25">
      <c r="A23" s="2">
        <v>28001</v>
      </c>
      <c r="B23" s="3" t="s">
        <v>165</v>
      </c>
    </row>
    <row r="24" spans="1:2" x14ac:dyDescent="0.25">
      <c r="A24" s="2">
        <v>60001</v>
      </c>
      <c r="B24" s="3" t="s">
        <v>166</v>
      </c>
    </row>
    <row r="25" spans="1:2" x14ac:dyDescent="0.25">
      <c r="A25" s="2">
        <v>7001</v>
      </c>
      <c r="B25" s="3" t="s">
        <v>167</v>
      </c>
    </row>
    <row r="26" spans="1:2" x14ac:dyDescent="0.25">
      <c r="A26" s="2">
        <v>39001</v>
      </c>
      <c r="B26" s="3" t="s">
        <v>168</v>
      </c>
    </row>
    <row r="27" spans="1:2" x14ac:dyDescent="0.25">
      <c r="A27" s="2">
        <v>12002</v>
      </c>
      <c r="B27" s="3" t="s">
        <v>169</v>
      </c>
    </row>
    <row r="28" spans="1:2" x14ac:dyDescent="0.25">
      <c r="A28" s="2">
        <v>50005</v>
      </c>
      <c r="B28" s="3" t="s">
        <v>170</v>
      </c>
    </row>
    <row r="29" spans="1:2" x14ac:dyDescent="0.25">
      <c r="A29" s="2">
        <v>59003</v>
      </c>
      <c r="B29" s="3" t="s">
        <v>433</v>
      </c>
    </row>
    <row r="30" spans="1:2" x14ac:dyDescent="0.25">
      <c r="A30" s="2">
        <v>21003</v>
      </c>
      <c r="B30" s="3" t="s">
        <v>172</v>
      </c>
    </row>
    <row r="31" spans="1:2" x14ac:dyDescent="0.25">
      <c r="A31" s="2">
        <v>16001</v>
      </c>
      <c r="B31" s="3" t="s">
        <v>173</v>
      </c>
    </row>
    <row r="32" spans="1:2" x14ac:dyDescent="0.25">
      <c r="A32" s="2">
        <v>61008</v>
      </c>
      <c r="B32" s="3" t="s">
        <v>174</v>
      </c>
    </row>
    <row r="33" spans="1:2" x14ac:dyDescent="0.25">
      <c r="A33" s="2">
        <v>38002</v>
      </c>
      <c r="B33" s="3" t="s">
        <v>175</v>
      </c>
    </row>
    <row r="34" spans="1:2" x14ac:dyDescent="0.25">
      <c r="A34" s="2">
        <v>49003</v>
      </c>
      <c r="B34" s="3" t="s">
        <v>176</v>
      </c>
    </row>
    <row r="35" spans="1:2" x14ac:dyDescent="0.25">
      <c r="A35" s="2">
        <v>5006</v>
      </c>
      <c r="B35" s="3" t="s">
        <v>177</v>
      </c>
    </row>
    <row r="36" spans="1:2" x14ac:dyDescent="0.25">
      <c r="A36" s="2">
        <v>19004</v>
      </c>
      <c r="B36" s="3" t="s">
        <v>178</v>
      </c>
    </row>
    <row r="37" spans="1:2" x14ac:dyDescent="0.25">
      <c r="A37" s="2">
        <v>56002</v>
      </c>
      <c r="B37" s="3" t="s">
        <v>179</v>
      </c>
    </row>
    <row r="38" spans="1:2" x14ac:dyDescent="0.25">
      <c r="A38" s="2">
        <v>51001</v>
      </c>
      <c r="B38" s="3" t="s">
        <v>180</v>
      </c>
    </row>
    <row r="39" spans="1:2" x14ac:dyDescent="0.25">
      <c r="A39" s="2">
        <v>64002</v>
      </c>
      <c r="B39" s="3" t="s">
        <v>181</v>
      </c>
    </row>
    <row r="40" spans="1:2" x14ac:dyDescent="0.25">
      <c r="A40" s="2">
        <v>20001</v>
      </c>
      <c r="B40" s="3" t="s">
        <v>182</v>
      </c>
    </row>
    <row r="41" spans="1:2" x14ac:dyDescent="0.25">
      <c r="A41" s="2">
        <v>23001</v>
      </c>
      <c r="B41" s="3" t="s">
        <v>183</v>
      </c>
    </row>
    <row r="42" spans="1:2" x14ac:dyDescent="0.25">
      <c r="A42" s="2">
        <v>22005</v>
      </c>
      <c r="B42" s="3" t="s">
        <v>184</v>
      </c>
    </row>
    <row r="43" spans="1:2" x14ac:dyDescent="0.25">
      <c r="A43" s="2">
        <v>16002</v>
      </c>
      <c r="B43" s="3" t="s">
        <v>185</v>
      </c>
    </row>
    <row r="44" spans="1:2" x14ac:dyDescent="0.25">
      <c r="A44" s="2">
        <v>61007</v>
      </c>
      <c r="B44" s="3" t="s">
        <v>186</v>
      </c>
    </row>
    <row r="45" spans="1:2" x14ac:dyDescent="0.25">
      <c r="A45" s="2">
        <v>5003</v>
      </c>
      <c r="B45" s="3" t="s">
        <v>187</v>
      </c>
    </row>
    <row r="46" spans="1:2" x14ac:dyDescent="0.25">
      <c r="A46" s="2">
        <v>28002</v>
      </c>
      <c r="B46" s="3" t="s">
        <v>188</v>
      </c>
    </row>
    <row r="47" spans="1:2" x14ac:dyDescent="0.25">
      <c r="A47" s="2">
        <v>17001</v>
      </c>
      <c r="B47" s="3" t="s">
        <v>189</v>
      </c>
    </row>
    <row r="48" spans="1:2" x14ac:dyDescent="0.25">
      <c r="A48" s="2">
        <v>44001</v>
      </c>
      <c r="B48" s="3" t="s">
        <v>190</v>
      </c>
    </row>
    <row r="49" spans="1:2" x14ac:dyDescent="0.25">
      <c r="A49" s="2">
        <v>46002</v>
      </c>
      <c r="B49" s="3" t="s">
        <v>191</v>
      </c>
    </row>
    <row r="50" spans="1:2" x14ac:dyDescent="0.25">
      <c r="A50" s="2">
        <v>24004</v>
      </c>
      <c r="B50" s="3" t="s">
        <v>296</v>
      </c>
    </row>
    <row r="51" spans="1:2" x14ac:dyDescent="0.25">
      <c r="A51" s="2">
        <v>50003</v>
      </c>
      <c r="B51" s="3" t="s">
        <v>193</v>
      </c>
    </row>
    <row r="52" spans="1:2" x14ac:dyDescent="0.25">
      <c r="A52" s="2">
        <v>14001</v>
      </c>
      <c r="B52" s="3" t="s">
        <v>194</v>
      </c>
    </row>
    <row r="53" spans="1:2" x14ac:dyDescent="0.25">
      <c r="A53" s="2">
        <v>6002</v>
      </c>
      <c r="B53" s="3" t="s">
        <v>195</v>
      </c>
    </row>
    <row r="54" spans="1:2" x14ac:dyDescent="0.25">
      <c r="A54" s="2">
        <v>33001</v>
      </c>
      <c r="B54" s="3" t="s">
        <v>196</v>
      </c>
    </row>
    <row r="55" spans="1:2" x14ac:dyDescent="0.25">
      <c r="A55" s="2">
        <v>49004</v>
      </c>
      <c r="B55" s="3" t="s">
        <v>197</v>
      </c>
    </row>
    <row r="56" spans="1:2" x14ac:dyDescent="0.25">
      <c r="A56" s="2">
        <v>63001</v>
      </c>
      <c r="B56" s="3" t="s">
        <v>198</v>
      </c>
    </row>
    <row r="57" spans="1:2" x14ac:dyDescent="0.25">
      <c r="A57" s="2">
        <v>53001</v>
      </c>
      <c r="B57" s="3" t="s">
        <v>199</v>
      </c>
    </row>
    <row r="58" spans="1:2" x14ac:dyDescent="0.25">
      <c r="A58" s="2">
        <v>26004</v>
      </c>
      <c r="B58" s="3" t="s">
        <v>200</v>
      </c>
    </row>
    <row r="59" spans="1:2" x14ac:dyDescent="0.25">
      <c r="A59" s="2">
        <v>6006</v>
      </c>
      <c r="B59" s="3" t="s">
        <v>201</v>
      </c>
    </row>
    <row r="60" spans="1:2" x14ac:dyDescent="0.25">
      <c r="A60" s="2">
        <v>27001</v>
      </c>
      <c r="B60" s="3" t="s">
        <v>202</v>
      </c>
    </row>
    <row r="61" spans="1:2" x14ac:dyDescent="0.25">
      <c r="A61" s="2">
        <v>28003</v>
      </c>
      <c r="B61" s="3" t="s">
        <v>203</v>
      </c>
    </row>
    <row r="62" spans="1:2" x14ac:dyDescent="0.25">
      <c r="A62" s="2">
        <v>30001</v>
      </c>
      <c r="B62" s="3" t="s">
        <v>204</v>
      </c>
    </row>
    <row r="63" spans="1:2" x14ac:dyDescent="0.25">
      <c r="A63" s="2">
        <v>31001</v>
      </c>
      <c r="B63" s="3" t="s">
        <v>205</v>
      </c>
    </row>
    <row r="64" spans="1:2" x14ac:dyDescent="0.25">
      <c r="A64" s="2">
        <v>41002</v>
      </c>
      <c r="B64" s="3" t="s">
        <v>206</v>
      </c>
    </row>
    <row r="65" spans="1:2" x14ac:dyDescent="0.25">
      <c r="A65" s="2">
        <v>14002</v>
      </c>
      <c r="B65" s="3" t="s">
        <v>207</v>
      </c>
    </row>
    <row r="66" spans="1:2" x14ac:dyDescent="0.25">
      <c r="A66" s="2">
        <v>10001</v>
      </c>
      <c r="B66" s="3" t="s">
        <v>208</v>
      </c>
    </row>
    <row r="67" spans="1:2" x14ac:dyDescent="0.25">
      <c r="A67" s="2">
        <v>34002</v>
      </c>
      <c r="B67" s="3" t="s">
        <v>209</v>
      </c>
    </row>
    <row r="68" spans="1:2" x14ac:dyDescent="0.25">
      <c r="A68" s="2">
        <v>51002</v>
      </c>
      <c r="B68" s="3" t="s">
        <v>210</v>
      </c>
    </row>
    <row r="69" spans="1:2" x14ac:dyDescent="0.25">
      <c r="A69" s="2">
        <v>56006</v>
      </c>
      <c r="B69" s="3" t="s">
        <v>211</v>
      </c>
    </row>
    <row r="70" spans="1:2" x14ac:dyDescent="0.25">
      <c r="A70" s="2">
        <v>23002</v>
      </c>
      <c r="B70" s="3" t="s">
        <v>212</v>
      </c>
    </row>
    <row r="71" spans="1:2" x14ac:dyDescent="0.25">
      <c r="A71" s="2">
        <v>53002</v>
      </c>
      <c r="B71" s="3" t="s">
        <v>213</v>
      </c>
    </row>
    <row r="72" spans="1:2" x14ac:dyDescent="0.25">
      <c r="A72" s="2">
        <v>48003</v>
      </c>
      <c r="B72" s="3" t="s">
        <v>214</v>
      </c>
    </row>
    <row r="73" spans="1:2" x14ac:dyDescent="0.25">
      <c r="A73" s="2">
        <v>2002</v>
      </c>
      <c r="B73" s="3" t="s">
        <v>215</v>
      </c>
    </row>
    <row r="74" spans="1:2" x14ac:dyDescent="0.25">
      <c r="A74" s="2">
        <v>22006</v>
      </c>
      <c r="B74" s="3" t="s">
        <v>216</v>
      </c>
    </row>
    <row r="75" spans="1:2" x14ac:dyDescent="0.25">
      <c r="A75" s="2">
        <v>13003</v>
      </c>
      <c r="B75" s="3" t="s">
        <v>217</v>
      </c>
    </row>
    <row r="76" spans="1:2" x14ac:dyDescent="0.25">
      <c r="A76" s="2">
        <v>2003</v>
      </c>
      <c r="B76" s="3" t="s">
        <v>218</v>
      </c>
    </row>
    <row r="77" spans="1:2" x14ac:dyDescent="0.25">
      <c r="A77" s="2">
        <v>37003</v>
      </c>
      <c r="B77" s="3" t="s">
        <v>219</v>
      </c>
    </row>
    <row r="78" spans="1:2" x14ac:dyDescent="0.25">
      <c r="A78" s="2">
        <v>35002</v>
      </c>
      <c r="B78" s="3" t="s">
        <v>220</v>
      </c>
    </row>
    <row r="79" spans="1:2" x14ac:dyDescent="0.25">
      <c r="A79" s="2">
        <v>7002</v>
      </c>
      <c r="B79" s="3" t="s">
        <v>221</v>
      </c>
    </row>
    <row r="80" spans="1:2" x14ac:dyDescent="0.25">
      <c r="A80" s="2">
        <v>38003</v>
      </c>
      <c r="B80" s="3" t="s">
        <v>222</v>
      </c>
    </row>
    <row r="81" spans="1:2" x14ac:dyDescent="0.25">
      <c r="A81" s="2">
        <v>45005</v>
      </c>
      <c r="B81" s="3" t="s">
        <v>223</v>
      </c>
    </row>
    <row r="82" spans="1:2" x14ac:dyDescent="0.25">
      <c r="A82" s="2">
        <v>40001</v>
      </c>
      <c r="B82" s="3" t="s">
        <v>224</v>
      </c>
    </row>
    <row r="83" spans="1:2" x14ac:dyDescent="0.25">
      <c r="A83" s="2">
        <v>52004</v>
      </c>
      <c r="B83" s="3" t="s">
        <v>225</v>
      </c>
    </row>
    <row r="84" spans="1:2" x14ac:dyDescent="0.25">
      <c r="A84" s="2">
        <v>41004</v>
      </c>
      <c r="B84" s="3" t="s">
        <v>226</v>
      </c>
    </row>
    <row r="85" spans="1:2" x14ac:dyDescent="0.25">
      <c r="A85" s="2">
        <v>44002</v>
      </c>
      <c r="B85" s="3" t="s">
        <v>227</v>
      </c>
    </row>
    <row r="86" spans="1:2" x14ac:dyDescent="0.25">
      <c r="A86" s="2">
        <v>42001</v>
      </c>
      <c r="B86" s="3" t="s">
        <v>228</v>
      </c>
    </row>
    <row r="87" spans="1:2" x14ac:dyDescent="0.25">
      <c r="A87" s="2">
        <v>39002</v>
      </c>
      <c r="B87" s="3" t="s">
        <v>229</v>
      </c>
    </row>
    <row r="88" spans="1:2" x14ac:dyDescent="0.25">
      <c r="A88" s="2">
        <v>60003</v>
      </c>
      <c r="B88" s="3" t="s">
        <v>230</v>
      </c>
    </row>
    <row r="89" spans="1:2" x14ac:dyDescent="0.25">
      <c r="A89" s="2">
        <v>43007</v>
      </c>
      <c r="B89" s="3" t="s">
        <v>231</v>
      </c>
    </row>
    <row r="90" spans="1:2" x14ac:dyDescent="0.25">
      <c r="A90" s="2">
        <v>15001</v>
      </c>
      <c r="B90" s="3" t="s">
        <v>232</v>
      </c>
    </row>
    <row r="91" spans="1:2" x14ac:dyDescent="0.25">
      <c r="A91" s="2">
        <v>15002</v>
      </c>
      <c r="B91" s="3" t="s">
        <v>233</v>
      </c>
    </row>
    <row r="92" spans="1:2" x14ac:dyDescent="0.25">
      <c r="A92" s="2">
        <v>46001</v>
      </c>
      <c r="B92" s="3" t="s">
        <v>234</v>
      </c>
    </row>
    <row r="93" spans="1:2" x14ac:dyDescent="0.25">
      <c r="A93" s="2">
        <v>33002</v>
      </c>
      <c r="B93" s="3" t="s">
        <v>235</v>
      </c>
    </row>
    <row r="94" spans="1:2" x14ac:dyDescent="0.25">
      <c r="A94" s="2">
        <v>25004</v>
      </c>
      <c r="B94" s="3" t="s">
        <v>236</v>
      </c>
    </row>
    <row r="95" spans="1:2" x14ac:dyDescent="0.25">
      <c r="A95" s="2">
        <v>29004</v>
      </c>
      <c r="B95" s="3" t="s">
        <v>237</v>
      </c>
    </row>
    <row r="96" spans="1:2" x14ac:dyDescent="0.25">
      <c r="A96" s="2">
        <v>17002</v>
      </c>
      <c r="B96" s="3" t="s">
        <v>238</v>
      </c>
    </row>
    <row r="97" spans="1:2" x14ac:dyDescent="0.25">
      <c r="A97" s="2">
        <v>62006</v>
      </c>
      <c r="B97" s="3" t="s">
        <v>239</v>
      </c>
    </row>
    <row r="98" spans="1:2" x14ac:dyDescent="0.25">
      <c r="A98" s="2">
        <v>43002</v>
      </c>
      <c r="B98" s="3" t="s">
        <v>240</v>
      </c>
    </row>
    <row r="99" spans="1:2" x14ac:dyDescent="0.25">
      <c r="A99" s="2">
        <v>17003</v>
      </c>
      <c r="B99" s="3" t="s">
        <v>241</v>
      </c>
    </row>
    <row r="100" spans="1:2" x14ac:dyDescent="0.25">
      <c r="A100" s="2">
        <v>51003</v>
      </c>
      <c r="B100" s="3" t="s">
        <v>242</v>
      </c>
    </row>
    <row r="101" spans="1:2" x14ac:dyDescent="0.25">
      <c r="A101" s="2">
        <v>9002</v>
      </c>
      <c r="B101" s="3" t="s">
        <v>243</v>
      </c>
    </row>
    <row r="102" spans="1:2" x14ac:dyDescent="0.25">
      <c r="A102" s="2">
        <v>56007</v>
      </c>
      <c r="B102" s="3" t="s">
        <v>244</v>
      </c>
    </row>
    <row r="103" spans="1:2" x14ac:dyDescent="0.25">
      <c r="A103" s="2">
        <v>23003</v>
      </c>
      <c r="B103" s="3" t="s">
        <v>245</v>
      </c>
    </row>
    <row r="104" spans="1:2" x14ac:dyDescent="0.25">
      <c r="A104" s="2">
        <v>65001</v>
      </c>
      <c r="B104" s="3" t="s">
        <v>246</v>
      </c>
    </row>
    <row r="105" spans="1:2" x14ac:dyDescent="0.25">
      <c r="A105" s="140">
        <v>39006</v>
      </c>
      <c r="B105" s="3" t="s">
        <v>422</v>
      </c>
    </row>
    <row r="106" spans="1:2" x14ac:dyDescent="0.25">
      <c r="A106" s="2">
        <v>60004</v>
      </c>
      <c r="B106" s="3" t="s">
        <v>248</v>
      </c>
    </row>
    <row r="107" spans="1:2" x14ac:dyDescent="0.25">
      <c r="A107" s="2">
        <v>33003</v>
      </c>
      <c r="B107" s="3" t="s">
        <v>249</v>
      </c>
    </row>
    <row r="108" spans="1:2" x14ac:dyDescent="0.25">
      <c r="A108" s="2">
        <v>32002</v>
      </c>
      <c r="B108" s="3" t="s">
        <v>250</v>
      </c>
    </row>
    <row r="109" spans="1:2" x14ac:dyDescent="0.25">
      <c r="A109" s="2">
        <v>1001</v>
      </c>
      <c r="B109" s="3" t="s">
        <v>251</v>
      </c>
    </row>
    <row r="110" spans="1:2" x14ac:dyDescent="0.25">
      <c r="A110" s="2">
        <v>11005</v>
      </c>
      <c r="B110" s="3" t="s">
        <v>252</v>
      </c>
    </row>
    <row r="111" spans="1:2" x14ac:dyDescent="0.25">
      <c r="A111" s="4">
        <v>51004</v>
      </c>
      <c r="B111" s="5" t="s">
        <v>331</v>
      </c>
    </row>
    <row r="112" spans="1:2" x14ac:dyDescent="0.25">
      <c r="A112" s="2">
        <v>56004</v>
      </c>
      <c r="B112" s="3" t="s">
        <v>254</v>
      </c>
    </row>
    <row r="113" spans="1:2" x14ac:dyDescent="0.25">
      <c r="A113" s="2">
        <v>54004</v>
      </c>
      <c r="B113" s="3" t="s">
        <v>255</v>
      </c>
    </row>
    <row r="114" spans="1:2" x14ac:dyDescent="0.25">
      <c r="A114" s="2">
        <v>55005</v>
      </c>
      <c r="B114" s="3" t="s">
        <v>257</v>
      </c>
    </row>
    <row r="115" spans="1:2" x14ac:dyDescent="0.25">
      <c r="A115" s="2">
        <v>4003</v>
      </c>
      <c r="B115" s="3" t="s">
        <v>258</v>
      </c>
    </row>
    <row r="116" spans="1:2" x14ac:dyDescent="0.25">
      <c r="A116" s="2">
        <v>62005</v>
      </c>
      <c r="B116" s="3" t="s">
        <v>259</v>
      </c>
    </row>
    <row r="117" spans="1:2" x14ac:dyDescent="0.25">
      <c r="A117" s="4">
        <v>49005</v>
      </c>
      <c r="B117" s="5" t="s">
        <v>260</v>
      </c>
    </row>
    <row r="118" spans="1:2" x14ac:dyDescent="0.25">
      <c r="A118" s="2">
        <v>5005</v>
      </c>
      <c r="B118" s="3" t="s">
        <v>261</v>
      </c>
    </row>
    <row r="119" spans="1:2" x14ac:dyDescent="0.25">
      <c r="A119" s="2">
        <v>54002</v>
      </c>
      <c r="B119" s="3" t="s">
        <v>262</v>
      </c>
    </row>
    <row r="120" spans="1:2" x14ac:dyDescent="0.25">
      <c r="A120" s="2">
        <v>15003</v>
      </c>
      <c r="B120" s="3" t="s">
        <v>263</v>
      </c>
    </row>
    <row r="121" spans="1:2" x14ac:dyDescent="0.25">
      <c r="A121" s="2">
        <v>26005</v>
      </c>
      <c r="B121" s="3" t="s">
        <v>264</v>
      </c>
    </row>
    <row r="122" spans="1:2" x14ac:dyDescent="0.25">
      <c r="A122" s="2">
        <v>40002</v>
      </c>
      <c r="B122" s="3" t="s">
        <v>265</v>
      </c>
    </row>
    <row r="123" spans="1:2" x14ac:dyDescent="0.25">
      <c r="A123" s="2">
        <v>57001</v>
      </c>
      <c r="B123" s="3" t="s">
        <v>266</v>
      </c>
    </row>
    <row r="124" spans="1:2" x14ac:dyDescent="0.25">
      <c r="A124" s="2">
        <v>54006</v>
      </c>
      <c r="B124" s="3" t="s">
        <v>267</v>
      </c>
    </row>
    <row r="125" spans="1:2" x14ac:dyDescent="0.25">
      <c r="A125" s="2">
        <v>41005</v>
      </c>
      <c r="B125" s="3" t="s">
        <v>268</v>
      </c>
    </row>
    <row r="126" spans="1:2" x14ac:dyDescent="0.25">
      <c r="A126" s="2">
        <v>20003</v>
      </c>
      <c r="B126" s="3" t="s">
        <v>269</v>
      </c>
    </row>
    <row r="127" spans="1:2" x14ac:dyDescent="0.25">
      <c r="A127" s="2">
        <v>66001</v>
      </c>
      <c r="B127" s="3" t="s">
        <v>270</v>
      </c>
    </row>
    <row r="128" spans="1:2" x14ac:dyDescent="0.25">
      <c r="A128" s="2">
        <v>33005</v>
      </c>
      <c r="B128" s="3" t="s">
        <v>271</v>
      </c>
    </row>
    <row r="129" spans="1:2" x14ac:dyDescent="0.25">
      <c r="A129" s="2">
        <v>49006</v>
      </c>
      <c r="B129" s="3" t="s">
        <v>272</v>
      </c>
    </row>
    <row r="130" spans="1:2" x14ac:dyDescent="0.25">
      <c r="A130" s="2">
        <v>13001</v>
      </c>
      <c r="B130" s="3" t="s">
        <v>273</v>
      </c>
    </row>
    <row r="131" spans="1:2" x14ac:dyDescent="0.25">
      <c r="A131" s="2">
        <v>60006</v>
      </c>
      <c r="B131" s="3" t="s">
        <v>274</v>
      </c>
    </row>
    <row r="132" spans="1:2" x14ac:dyDescent="0.25">
      <c r="A132" s="2">
        <v>11004</v>
      </c>
      <c r="B132" s="3" t="s">
        <v>275</v>
      </c>
    </row>
    <row r="133" spans="1:2" x14ac:dyDescent="0.25">
      <c r="A133" s="2">
        <v>51005</v>
      </c>
      <c r="B133" s="3" t="s">
        <v>276</v>
      </c>
    </row>
    <row r="134" spans="1:2" x14ac:dyDescent="0.25">
      <c r="A134" s="2">
        <v>6005</v>
      </c>
      <c r="B134" s="3" t="s">
        <v>277</v>
      </c>
    </row>
    <row r="135" spans="1:2" x14ac:dyDescent="0.25">
      <c r="A135" s="2">
        <v>14004</v>
      </c>
      <c r="B135" s="3" t="s">
        <v>278</v>
      </c>
    </row>
    <row r="136" spans="1:2" x14ac:dyDescent="0.25">
      <c r="A136" s="2">
        <v>18003</v>
      </c>
      <c r="B136" s="3" t="s">
        <v>279</v>
      </c>
    </row>
    <row r="137" spans="1:2" x14ac:dyDescent="0.25">
      <c r="A137" s="2">
        <v>14005</v>
      </c>
      <c r="B137" s="3" t="s">
        <v>280</v>
      </c>
    </row>
    <row r="138" spans="1:2" x14ac:dyDescent="0.25">
      <c r="A138" s="2">
        <v>18005</v>
      </c>
      <c r="B138" s="3" t="s">
        <v>281</v>
      </c>
    </row>
    <row r="139" spans="1:2" x14ac:dyDescent="0.25">
      <c r="A139" s="2">
        <v>36002</v>
      </c>
      <c r="B139" s="3" t="s">
        <v>282</v>
      </c>
    </row>
    <row r="140" spans="1:2" x14ac:dyDescent="0.25">
      <c r="A140" s="2">
        <v>49007</v>
      </c>
      <c r="B140" s="3" t="s">
        <v>283</v>
      </c>
    </row>
    <row r="141" spans="1:2" x14ac:dyDescent="0.25">
      <c r="A141" s="2">
        <v>1003</v>
      </c>
      <c r="B141" s="3" t="s">
        <v>284</v>
      </c>
    </row>
    <row r="142" spans="1:2" x14ac:dyDescent="0.25">
      <c r="A142" s="2">
        <v>47001</v>
      </c>
      <c r="B142" s="3" t="s">
        <v>285</v>
      </c>
    </row>
    <row r="143" spans="1:2" x14ac:dyDescent="0.25">
      <c r="A143" s="2">
        <v>12003</v>
      </c>
      <c r="B143" s="3" t="s">
        <v>286</v>
      </c>
    </row>
    <row r="144" spans="1:2" x14ac:dyDescent="0.25">
      <c r="A144" s="2">
        <v>54007</v>
      </c>
      <c r="B144" s="3" t="s">
        <v>287</v>
      </c>
    </row>
    <row r="145" spans="1:2" x14ac:dyDescent="0.25">
      <c r="A145" s="2">
        <v>59002</v>
      </c>
      <c r="B145" s="3" t="s">
        <v>288</v>
      </c>
    </row>
    <row r="146" spans="1:2" x14ac:dyDescent="0.25">
      <c r="A146" s="2">
        <v>2006</v>
      </c>
      <c r="B146" s="3" t="s">
        <v>289</v>
      </c>
    </row>
    <row r="147" spans="1:2" x14ac:dyDescent="0.25">
      <c r="A147" s="2">
        <v>55004</v>
      </c>
      <c r="B147" s="3" t="s">
        <v>290</v>
      </c>
    </row>
    <row r="148" spans="1:2" x14ac:dyDescent="0.25">
      <c r="A148" s="2">
        <v>63003</v>
      </c>
      <c r="B148" s="3" t="s">
        <v>291</v>
      </c>
    </row>
  </sheetData>
  <sheetProtection algorithmName="SHA-512" hashValue="bpVHbjBx3OEnWIGpgqCGoQ/n9oGfFcMbEFihDC79D4gR33MAfXXGyso11v/xjgywNQ+qSybKjMKGWXMQNf5d8g==" saltValue="+Y7DfR4Mj6ZTePZcd8ookQ==" spinCount="100000" sheet="1" objects="1" scenarios="1"/>
  <phoneticPr fontId="8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45C1A-DBDF-407A-AC2C-D603648BB717}">
  <sheetPr>
    <pageSetUpPr fitToPage="1"/>
  </sheetPr>
  <dimension ref="A1:K353"/>
  <sheetViews>
    <sheetView workbookViewId="0">
      <pane ySplit="4" topLeftCell="A5" activePane="bottomLeft" state="frozen"/>
      <selection pane="bottomLeft" activeCell="K5" sqref="K5"/>
    </sheetView>
  </sheetViews>
  <sheetFormatPr defaultColWidth="9.140625" defaultRowHeight="15" x14ac:dyDescent="0.25"/>
  <cols>
    <col min="1" max="1" width="24.140625" style="241" customWidth="1"/>
    <col min="2" max="2" width="6" style="241" customWidth="1"/>
    <col min="3" max="3" width="11.42578125" style="241" customWidth="1"/>
    <col min="4" max="4" width="8" style="241" customWidth="1"/>
    <col min="5" max="5" width="13.140625" style="241" customWidth="1"/>
    <col min="6" max="6" width="9" style="241" customWidth="1"/>
    <col min="7" max="7" width="10.42578125" style="241" customWidth="1"/>
    <col min="8" max="8" width="11.42578125" style="241" customWidth="1"/>
    <col min="9" max="9" width="11.42578125" style="241" bestFit="1" customWidth="1"/>
    <col min="10" max="10" width="10.42578125" style="241" bestFit="1" customWidth="1"/>
    <col min="11" max="11" width="11.42578125" style="241" bestFit="1" customWidth="1"/>
    <col min="12" max="16384" width="9.140625" style="241"/>
  </cols>
  <sheetData>
    <row r="1" spans="1:11" ht="18.75" x14ac:dyDescent="0.3">
      <c r="A1" s="255" t="s">
        <v>452</v>
      </c>
      <c r="C1" s="240"/>
      <c r="D1" s="240"/>
      <c r="E1" s="240"/>
      <c r="F1" s="240"/>
      <c r="G1" s="240"/>
    </row>
    <row r="2" spans="1:11" x14ac:dyDescent="0.25">
      <c r="A2" s="256" t="s">
        <v>453</v>
      </c>
      <c r="C2" s="242"/>
      <c r="D2" s="242"/>
      <c r="E2" s="242"/>
      <c r="F2" s="242"/>
      <c r="G2" s="242"/>
      <c r="H2" s="242"/>
    </row>
    <row r="3" spans="1:11" ht="6.75" customHeight="1" x14ac:dyDescent="0.25">
      <c r="A3" s="240"/>
      <c r="B3" s="240"/>
      <c r="C3" s="240"/>
      <c r="D3" s="240"/>
      <c r="E3" s="240"/>
      <c r="F3" s="240"/>
      <c r="G3" s="240"/>
    </row>
    <row r="4" spans="1:11" s="240" customFormat="1" ht="63.75" x14ac:dyDescent="0.2">
      <c r="A4" s="257" t="s">
        <v>142</v>
      </c>
      <c r="B4" s="258" t="s">
        <v>141</v>
      </c>
      <c r="C4" s="243" t="s">
        <v>416</v>
      </c>
      <c r="D4" s="243" t="s">
        <v>417</v>
      </c>
      <c r="E4" s="243" t="s">
        <v>418</v>
      </c>
      <c r="F4" s="243" t="s">
        <v>419</v>
      </c>
      <c r="G4" s="243" t="s">
        <v>420</v>
      </c>
      <c r="H4" s="243" t="s">
        <v>421</v>
      </c>
      <c r="I4" s="243" t="s">
        <v>454</v>
      </c>
      <c r="J4" s="243" t="s">
        <v>455</v>
      </c>
      <c r="K4" s="243" t="s">
        <v>456</v>
      </c>
    </row>
    <row r="5" spans="1:11" s="240" customFormat="1" ht="12.75" x14ac:dyDescent="0.2">
      <c r="A5" s="259" t="s">
        <v>143</v>
      </c>
      <c r="B5" s="260">
        <v>6001</v>
      </c>
      <c r="C5" s="261">
        <v>576567.25</v>
      </c>
      <c r="D5" s="261">
        <v>0</v>
      </c>
      <c r="E5" s="261">
        <v>293012.43</v>
      </c>
      <c r="F5" s="261">
        <v>19369.509999999998</v>
      </c>
      <c r="G5" s="261">
        <v>0</v>
      </c>
      <c r="H5" s="261">
        <v>378360.92</v>
      </c>
      <c r="I5" s="261">
        <f t="shared" ref="I5:I36" si="0">SUM(C5:H5)</f>
        <v>1267310.1099999999</v>
      </c>
      <c r="J5" s="261">
        <v>0</v>
      </c>
      <c r="K5" s="261">
        <f t="shared" ref="K5:K68" si="1">I5-J5</f>
        <v>1267310.1099999999</v>
      </c>
    </row>
    <row r="6" spans="1:11" s="240" customFormat="1" ht="12.75" x14ac:dyDescent="0.2">
      <c r="A6" s="259" t="s">
        <v>144</v>
      </c>
      <c r="B6" s="260">
        <v>58003</v>
      </c>
      <c r="C6" s="261">
        <v>429864.49</v>
      </c>
      <c r="D6" s="261">
        <v>0</v>
      </c>
      <c r="E6" s="261">
        <v>15571.62</v>
      </c>
      <c r="F6" s="261">
        <v>0</v>
      </c>
      <c r="G6" s="261">
        <v>0</v>
      </c>
      <c r="H6" s="261">
        <v>70486.67</v>
      </c>
      <c r="I6" s="261">
        <f t="shared" si="0"/>
        <v>515922.77999999997</v>
      </c>
      <c r="J6" s="261">
        <v>0</v>
      </c>
      <c r="K6" s="261">
        <f t="shared" si="1"/>
        <v>515922.77999999997</v>
      </c>
    </row>
    <row r="7" spans="1:11" s="240" customFormat="1" ht="12.75" x14ac:dyDescent="0.2">
      <c r="A7" s="259" t="s">
        <v>145</v>
      </c>
      <c r="B7" s="260">
        <v>61001</v>
      </c>
      <c r="C7" s="261">
        <v>82836.539999999994</v>
      </c>
      <c r="D7" s="261">
        <v>0</v>
      </c>
      <c r="E7" s="261">
        <v>37611.629999999997</v>
      </c>
      <c r="F7" s="261">
        <v>0</v>
      </c>
      <c r="G7" s="261">
        <v>0</v>
      </c>
      <c r="H7" s="261">
        <v>52546.85</v>
      </c>
      <c r="I7" s="261">
        <f t="shared" si="0"/>
        <v>172995.02</v>
      </c>
      <c r="J7" s="261">
        <v>0</v>
      </c>
      <c r="K7" s="261">
        <f t="shared" si="1"/>
        <v>172995.02</v>
      </c>
    </row>
    <row r="8" spans="1:11" s="240" customFormat="1" ht="12.75" x14ac:dyDescent="0.2">
      <c r="A8" s="259" t="s">
        <v>146</v>
      </c>
      <c r="B8" s="260">
        <v>11001</v>
      </c>
      <c r="C8" s="261">
        <v>111752.72</v>
      </c>
      <c r="D8" s="261">
        <v>0</v>
      </c>
      <c r="E8" s="261">
        <v>16303.91</v>
      </c>
      <c r="F8" s="261">
        <v>438.88</v>
      </c>
      <c r="G8" s="261">
        <v>0</v>
      </c>
      <c r="H8" s="261">
        <v>19941.25</v>
      </c>
      <c r="I8" s="261">
        <f t="shared" si="0"/>
        <v>148436.76</v>
      </c>
      <c r="J8" s="261">
        <v>0</v>
      </c>
      <c r="K8" s="261">
        <f t="shared" si="1"/>
        <v>148436.76</v>
      </c>
    </row>
    <row r="9" spans="1:11" s="240" customFormat="1" ht="12.75" x14ac:dyDescent="0.2">
      <c r="A9" s="259" t="s">
        <v>147</v>
      </c>
      <c r="B9" s="260">
        <v>38001</v>
      </c>
      <c r="C9" s="261">
        <v>59182.22</v>
      </c>
      <c r="D9" s="261">
        <v>0</v>
      </c>
      <c r="E9" s="261">
        <v>14222.69</v>
      </c>
      <c r="F9" s="261">
        <v>19775.55</v>
      </c>
      <c r="G9" s="261">
        <v>0</v>
      </c>
      <c r="H9" s="261">
        <v>54821.14</v>
      </c>
      <c r="I9" s="261">
        <f t="shared" si="0"/>
        <v>148001.60000000001</v>
      </c>
      <c r="J9" s="261">
        <v>0</v>
      </c>
      <c r="K9" s="261">
        <f t="shared" si="1"/>
        <v>148001.60000000001</v>
      </c>
    </row>
    <row r="10" spans="1:11" s="240" customFormat="1" ht="12.75" x14ac:dyDescent="0.2">
      <c r="A10" s="259" t="s">
        <v>148</v>
      </c>
      <c r="B10" s="260">
        <v>21001</v>
      </c>
      <c r="C10" s="261">
        <v>58176.6</v>
      </c>
      <c r="D10" s="261">
        <v>0</v>
      </c>
      <c r="E10" s="261">
        <v>8546.4</v>
      </c>
      <c r="F10" s="261">
        <v>0</v>
      </c>
      <c r="G10" s="261">
        <v>0</v>
      </c>
      <c r="H10" s="261">
        <v>9645.89</v>
      </c>
      <c r="I10" s="261">
        <f t="shared" si="0"/>
        <v>76368.89</v>
      </c>
      <c r="J10" s="261">
        <v>0</v>
      </c>
      <c r="K10" s="261">
        <f t="shared" si="1"/>
        <v>76368.89</v>
      </c>
    </row>
    <row r="11" spans="1:11" s="240" customFormat="1" ht="12.75" x14ac:dyDescent="0.2">
      <c r="A11" s="259" t="s">
        <v>149</v>
      </c>
      <c r="B11" s="260">
        <v>4001</v>
      </c>
      <c r="C11" s="261">
        <v>49380.91</v>
      </c>
      <c r="D11" s="261">
        <v>1830.61</v>
      </c>
      <c r="E11" s="261">
        <v>9823.2900000000009</v>
      </c>
      <c r="F11" s="261">
        <v>0</v>
      </c>
      <c r="G11" s="261">
        <v>163948.71</v>
      </c>
      <c r="H11" s="261">
        <v>16242.46</v>
      </c>
      <c r="I11" s="261">
        <f t="shared" si="0"/>
        <v>241225.97999999998</v>
      </c>
      <c r="J11" s="261">
        <v>163948.71</v>
      </c>
      <c r="K11" s="261">
        <f t="shared" si="1"/>
        <v>77277.26999999999</v>
      </c>
    </row>
    <row r="12" spans="1:11" s="240" customFormat="1" ht="12.75" x14ac:dyDescent="0.2">
      <c r="A12" s="259" t="s">
        <v>150</v>
      </c>
      <c r="B12" s="260">
        <v>49001</v>
      </c>
      <c r="C12" s="261">
        <v>49335.06</v>
      </c>
      <c r="D12" s="261">
        <v>0</v>
      </c>
      <c r="E12" s="261">
        <v>16105.98</v>
      </c>
      <c r="F12" s="261">
        <v>0</v>
      </c>
      <c r="G12" s="261">
        <v>0</v>
      </c>
      <c r="H12" s="261">
        <v>92323.37</v>
      </c>
      <c r="I12" s="261">
        <f t="shared" si="0"/>
        <v>157764.40999999997</v>
      </c>
      <c r="J12" s="261">
        <v>0</v>
      </c>
      <c r="K12" s="261">
        <f t="shared" si="1"/>
        <v>157764.40999999997</v>
      </c>
    </row>
    <row r="13" spans="1:11" s="240" customFormat="1" ht="12.75" x14ac:dyDescent="0.2">
      <c r="A13" s="259" t="s">
        <v>151</v>
      </c>
      <c r="B13" s="260">
        <v>9001</v>
      </c>
      <c r="C13" s="261">
        <v>61490.92</v>
      </c>
      <c r="D13" s="261">
        <v>0</v>
      </c>
      <c r="E13" s="261">
        <v>127692.81</v>
      </c>
      <c r="F13" s="261">
        <v>0</v>
      </c>
      <c r="G13" s="261">
        <v>0</v>
      </c>
      <c r="H13" s="261">
        <v>114606.24</v>
      </c>
      <c r="I13" s="261">
        <f t="shared" si="0"/>
        <v>303789.96999999997</v>
      </c>
      <c r="J13" s="261">
        <v>0</v>
      </c>
      <c r="K13" s="261">
        <f t="shared" si="1"/>
        <v>303789.96999999997</v>
      </c>
    </row>
    <row r="14" spans="1:11" s="240" customFormat="1" ht="12.75" x14ac:dyDescent="0.2">
      <c r="A14" s="259" t="s">
        <v>152</v>
      </c>
      <c r="B14" s="260">
        <v>3001</v>
      </c>
      <c r="C14" s="261">
        <v>160621.31</v>
      </c>
      <c r="D14" s="261">
        <v>0</v>
      </c>
      <c r="E14" s="261">
        <v>33155.75</v>
      </c>
      <c r="F14" s="261">
        <v>6113.51</v>
      </c>
      <c r="G14" s="261">
        <v>0</v>
      </c>
      <c r="H14" s="261">
        <v>21633.98</v>
      </c>
      <c r="I14" s="261">
        <f t="shared" si="0"/>
        <v>221524.55000000002</v>
      </c>
      <c r="J14" s="261">
        <v>0</v>
      </c>
      <c r="K14" s="261">
        <f t="shared" si="1"/>
        <v>221524.55000000002</v>
      </c>
    </row>
    <row r="15" spans="1:11" s="240" customFormat="1" ht="12.75" x14ac:dyDescent="0.2">
      <c r="A15" s="259" t="s">
        <v>153</v>
      </c>
      <c r="B15" s="260">
        <v>61002</v>
      </c>
      <c r="C15" s="261">
        <v>89791.42</v>
      </c>
      <c r="D15" s="261">
        <v>0</v>
      </c>
      <c r="E15" s="261">
        <v>65607.34</v>
      </c>
      <c r="F15" s="261">
        <v>0</v>
      </c>
      <c r="G15" s="261">
        <v>0</v>
      </c>
      <c r="H15" s="261">
        <v>103647.14</v>
      </c>
      <c r="I15" s="261">
        <f t="shared" si="0"/>
        <v>259045.90000000002</v>
      </c>
      <c r="J15" s="261">
        <v>0</v>
      </c>
      <c r="K15" s="261">
        <f t="shared" si="1"/>
        <v>259045.90000000002</v>
      </c>
    </row>
    <row r="16" spans="1:11" s="240" customFormat="1" ht="12.75" x14ac:dyDescent="0.2">
      <c r="A16" s="259" t="s">
        <v>154</v>
      </c>
      <c r="B16" s="260">
        <v>25001</v>
      </c>
      <c r="C16" s="261">
        <v>14687.26</v>
      </c>
      <c r="D16" s="261">
        <v>0</v>
      </c>
      <c r="E16" s="261">
        <v>4270.88</v>
      </c>
      <c r="F16" s="261">
        <v>100.25</v>
      </c>
      <c r="G16" s="261">
        <v>0</v>
      </c>
      <c r="H16" s="261">
        <v>17734.36</v>
      </c>
      <c r="I16" s="261">
        <f t="shared" si="0"/>
        <v>36792.75</v>
      </c>
      <c r="J16" s="261">
        <v>0</v>
      </c>
      <c r="K16" s="261">
        <f t="shared" si="1"/>
        <v>36792.75</v>
      </c>
    </row>
    <row r="17" spans="1:11" s="240" customFormat="1" ht="12.75" x14ac:dyDescent="0.2">
      <c r="A17" s="259" t="s">
        <v>155</v>
      </c>
      <c r="B17" s="260">
        <v>52001</v>
      </c>
      <c r="C17" s="261">
        <v>94819.63</v>
      </c>
      <c r="D17" s="261">
        <v>0</v>
      </c>
      <c r="E17" s="261">
        <v>13882.11</v>
      </c>
      <c r="F17" s="261">
        <v>0</v>
      </c>
      <c r="G17" s="261">
        <v>0</v>
      </c>
      <c r="H17" s="261">
        <v>14602.28</v>
      </c>
      <c r="I17" s="261">
        <f t="shared" si="0"/>
        <v>123304.02</v>
      </c>
      <c r="J17" s="261">
        <v>0</v>
      </c>
      <c r="K17" s="261">
        <f t="shared" si="1"/>
        <v>123304.02</v>
      </c>
    </row>
    <row r="18" spans="1:11" s="240" customFormat="1" ht="12.75" x14ac:dyDescent="0.2">
      <c r="A18" s="259" t="s">
        <v>156</v>
      </c>
      <c r="B18" s="260">
        <v>4002</v>
      </c>
      <c r="C18" s="261">
        <v>156975.95000000001</v>
      </c>
      <c r="D18" s="261">
        <v>1766.01</v>
      </c>
      <c r="E18" s="261">
        <v>25541.24</v>
      </c>
      <c r="F18" s="261">
        <v>0</v>
      </c>
      <c r="G18" s="261">
        <v>0</v>
      </c>
      <c r="H18" s="261">
        <v>38965.879999999997</v>
      </c>
      <c r="I18" s="261">
        <f t="shared" si="0"/>
        <v>223249.08000000002</v>
      </c>
      <c r="J18" s="261">
        <v>0</v>
      </c>
      <c r="K18" s="261">
        <f t="shared" si="1"/>
        <v>223249.08000000002</v>
      </c>
    </row>
    <row r="19" spans="1:11" s="240" customFormat="1" ht="12.75" x14ac:dyDescent="0.2">
      <c r="A19" s="259" t="s">
        <v>157</v>
      </c>
      <c r="B19" s="260">
        <v>22001</v>
      </c>
      <c r="C19" s="261">
        <v>49094.29</v>
      </c>
      <c r="D19" s="261">
        <v>0</v>
      </c>
      <c r="E19" s="261">
        <v>13523.68</v>
      </c>
      <c r="F19" s="261">
        <v>2884</v>
      </c>
      <c r="G19" s="261">
        <v>0</v>
      </c>
      <c r="H19" s="261">
        <v>13285.78</v>
      </c>
      <c r="I19" s="261">
        <f t="shared" si="0"/>
        <v>78787.75</v>
      </c>
      <c r="J19" s="261">
        <v>0</v>
      </c>
      <c r="K19" s="261">
        <f t="shared" si="1"/>
        <v>78787.75</v>
      </c>
    </row>
    <row r="20" spans="1:11" s="240" customFormat="1" ht="12.75" x14ac:dyDescent="0.2">
      <c r="A20" s="259" t="s">
        <v>158</v>
      </c>
      <c r="B20" s="260">
        <v>49002</v>
      </c>
      <c r="C20" s="261">
        <v>742357.37</v>
      </c>
      <c r="D20" s="261">
        <v>0</v>
      </c>
      <c r="E20" s="261">
        <v>159123.37</v>
      </c>
      <c r="F20" s="261">
        <v>0</v>
      </c>
      <c r="G20" s="261">
        <v>0</v>
      </c>
      <c r="H20" s="261">
        <v>853741.71</v>
      </c>
      <c r="I20" s="261">
        <f t="shared" si="0"/>
        <v>1755222.45</v>
      </c>
      <c r="J20" s="261">
        <v>0</v>
      </c>
      <c r="K20" s="261">
        <f t="shared" si="1"/>
        <v>1755222.45</v>
      </c>
    </row>
    <row r="21" spans="1:11" s="240" customFormat="1" ht="12.75" x14ac:dyDescent="0.2">
      <c r="A21" s="259" t="s">
        <v>159</v>
      </c>
      <c r="B21" s="260">
        <v>30003</v>
      </c>
      <c r="C21" s="261">
        <v>72421.350000000006</v>
      </c>
      <c r="D21" s="261">
        <v>0</v>
      </c>
      <c r="E21" s="261">
        <v>27008.77</v>
      </c>
      <c r="F21" s="261">
        <v>0</v>
      </c>
      <c r="G21" s="261">
        <v>0</v>
      </c>
      <c r="H21" s="261">
        <v>21777.55</v>
      </c>
      <c r="I21" s="261">
        <f t="shared" si="0"/>
        <v>121207.67000000001</v>
      </c>
      <c r="J21" s="261">
        <v>0</v>
      </c>
      <c r="K21" s="261">
        <f t="shared" si="1"/>
        <v>121207.67000000001</v>
      </c>
    </row>
    <row r="22" spans="1:11" s="240" customFormat="1" ht="12.75" x14ac:dyDescent="0.2">
      <c r="A22" s="259" t="s">
        <v>160</v>
      </c>
      <c r="B22" s="260">
        <v>45004</v>
      </c>
      <c r="C22" s="261">
        <v>245977</v>
      </c>
      <c r="D22" s="261">
        <v>0</v>
      </c>
      <c r="E22" s="261">
        <v>20071.650000000001</v>
      </c>
      <c r="F22" s="261">
        <v>0</v>
      </c>
      <c r="G22" s="261">
        <v>0</v>
      </c>
      <c r="H22" s="261">
        <v>90432.77</v>
      </c>
      <c r="I22" s="261">
        <f t="shared" si="0"/>
        <v>356481.42000000004</v>
      </c>
      <c r="J22" s="261">
        <v>0</v>
      </c>
      <c r="K22" s="261">
        <f t="shared" si="1"/>
        <v>356481.42000000004</v>
      </c>
    </row>
    <row r="23" spans="1:11" s="240" customFormat="1" ht="12.75" x14ac:dyDescent="0.2">
      <c r="A23" s="259" t="s">
        <v>161</v>
      </c>
      <c r="B23" s="260">
        <v>5001</v>
      </c>
      <c r="C23" s="261">
        <v>516886.25</v>
      </c>
      <c r="D23" s="261">
        <v>0</v>
      </c>
      <c r="E23" s="261">
        <v>260362.31</v>
      </c>
      <c r="F23" s="261">
        <v>0</v>
      </c>
      <c r="G23" s="261">
        <v>0</v>
      </c>
      <c r="H23" s="261">
        <v>442548.18</v>
      </c>
      <c r="I23" s="261">
        <f t="shared" si="0"/>
        <v>1219796.74</v>
      </c>
      <c r="J23" s="261">
        <v>0</v>
      </c>
      <c r="K23" s="261">
        <f t="shared" si="1"/>
        <v>1219796.74</v>
      </c>
    </row>
    <row r="24" spans="1:11" s="240" customFormat="1" ht="12.75" x14ac:dyDescent="0.2">
      <c r="A24" s="259" t="s">
        <v>162</v>
      </c>
      <c r="B24" s="260">
        <v>26002</v>
      </c>
      <c r="C24" s="261">
        <v>63581.81</v>
      </c>
      <c r="D24" s="261">
        <v>0</v>
      </c>
      <c r="E24" s="261">
        <v>8286.49</v>
      </c>
      <c r="F24" s="261">
        <v>3473.26</v>
      </c>
      <c r="G24" s="261">
        <v>0</v>
      </c>
      <c r="H24" s="261">
        <v>20355.400000000001</v>
      </c>
      <c r="I24" s="261">
        <f t="shared" si="0"/>
        <v>95696.959999999992</v>
      </c>
      <c r="J24" s="261">
        <v>0</v>
      </c>
      <c r="K24" s="261">
        <f t="shared" si="1"/>
        <v>95696.959999999992</v>
      </c>
    </row>
    <row r="25" spans="1:11" s="240" customFormat="1" ht="12.75" x14ac:dyDescent="0.2">
      <c r="A25" s="259" t="s">
        <v>163</v>
      </c>
      <c r="B25" s="260">
        <v>43001</v>
      </c>
      <c r="C25" s="261">
        <v>61819.76</v>
      </c>
      <c r="D25" s="261">
        <v>0</v>
      </c>
      <c r="E25" s="261">
        <v>29486.13</v>
      </c>
      <c r="F25" s="261">
        <v>0</v>
      </c>
      <c r="G25" s="261">
        <v>0</v>
      </c>
      <c r="H25" s="261">
        <v>13437.67</v>
      </c>
      <c r="I25" s="261">
        <f t="shared" si="0"/>
        <v>104743.56</v>
      </c>
      <c r="J25" s="261">
        <v>0</v>
      </c>
      <c r="K25" s="261">
        <f t="shared" si="1"/>
        <v>104743.56</v>
      </c>
    </row>
    <row r="26" spans="1:11" s="240" customFormat="1" ht="12.75" x14ac:dyDescent="0.2">
      <c r="A26" s="259" t="s">
        <v>164</v>
      </c>
      <c r="B26" s="260">
        <v>41001</v>
      </c>
      <c r="C26" s="261">
        <v>295992.66000000003</v>
      </c>
      <c r="D26" s="261">
        <v>0</v>
      </c>
      <c r="E26" s="261">
        <v>26502.62</v>
      </c>
      <c r="F26" s="261">
        <v>0</v>
      </c>
      <c r="G26" s="261">
        <v>0</v>
      </c>
      <c r="H26" s="261">
        <v>94804.51</v>
      </c>
      <c r="I26" s="261">
        <f t="shared" si="0"/>
        <v>417299.79000000004</v>
      </c>
      <c r="J26" s="261">
        <v>0</v>
      </c>
      <c r="K26" s="261">
        <f t="shared" si="1"/>
        <v>417299.79000000004</v>
      </c>
    </row>
    <row r="27" spans="1:11" s="240" customFormat="1" ht="12.75" x14ac:dyDescent="0.2">
      <c r="A27" s="259" t="s">
        <v>165</v>
      </c>
      <c r="B27" s="260">
        <v>28001</v>
      </c>
      <c r="C27" s="261">
        <v>89231.94</v>
      </c>
      <c r="D27" s="261">
        <v>0</v>
      </c>
      <c r="E27" s="261">
        <v>15095.43</v>
      </c>
      <c r="F27" s="261">
        <v>245.01</v>
      </c>
      <c r="G27" s="261">
        <v>0</v>
      </c>
      <c r="H27" s="261">
        <v>14124.82</v>
      </c>
      <c r="I27" s="261">
        <f t="shared" si="0"/>
        <v>118697.19999999998</v>
      </c>
      <c r="J27" s="261">
        <v>0</v>
      </c>
      <c r="K27" s="261">
        <f t="shared" si="1"/>
        <v>118697.19999999998</v>
      </c>
    </row>
    <row r="28" spans="1:11" s="240" customFormat="1" ht="12.75" x14ac:dyDescent="0.2">
      <c r="A28" s="259" t="s">
        <v>166</v>
      </c>
      <c r="B28" s="260">
        <v>60001</v>
      </c>
      <c r="C28" s="261">
        <v>75748.69</v>
      </c>
      <c r="D28" s="261">
        <v>0</v>
      </c>
      <c r="E28" s="261">
        <v>15934.25</v>
      </c>
      <c r="F28" s="261">
        <v>0</v>
      </c>
      <c r="G28" s="261">
        <v>0</v>
      </c>
      <c r="H28" s="261">
        <v>16497.87</v>
      </c>
      <c r="I28" s="261">
        <f t="shared" si="0"/>
        <v>108180.81</v>
      </c>
      <c r="J28" s="261">
        <v>0</v>
      </c>
      <c r="K28" s="261">
        <f t="shared" si="1"/>
        <v>108180.81</v>
      </c>
    </row>
    <row r="29" spans="1:11" s="240" customFormat="1" ht="12.75" x14ac:dyDescent="0.2">
      <c r="A29" s="259" t="s">
        <v>167</v>
      </c>
      <c r="B29" s="260">
        <v>7001</v>
      </c>
      <c r="C29" s="261">
        <v>315980.86</v>
      </c>
      <c r="D29" s="261">
        <v>0</v>
      </c>
      <c r="E29" s="261">
        <v>84480.41</v>
      </c>
      <c r="F29" s="261">
        <v>0</v>
      </c>
      <c r="G29" s="261">
        <v>0</v>
      </c>
      <c r="H29" s="261">
        <v>62096.15</v>
      </c>
      <c r="I29" s="261">
        <f t="shared" si="0"/>
        <v>462557.42000000004</v>
      </c>
      <c r="J29" s="261">
        <v>0</v>
      </c>
      <c r="K29" s="261">
        <f t="shared" si="1"/>
        <v>462557.42000000004</v>
      </c>
    </row>
    <row r="30" spans="1:11" s="240" customFormat="1" ht="12.75" x14ac:dyDescent="0.2">
      <c r="A30" s="259" t="s">
        <v>168</v>
      </c>
      <c r="B30" s="260">
        <v>39001</v>
      </c>
      <c r="C30" s="261">
        <v>255359.02</v>
      </c>
      <c r="D30" s="261">
        <v>0</v>
      </c>
      <c r="E30" s="261">
        <v>10638.74</v>
      </c>
      <c r="F30" s="261">
        <v>0</v>
      </c>
      <c r="G30" s="261">
        <v>0</v>
      </c>
      <c r="H30" s="261">
        <v>41828.85</v>
      </c>
      <c r="I30" s="261">
        <f t="shared" si="0"/>
        <v>307826.61</v>
      </c>
      <c r="J30" s="261">
        <v>0</v>
      </c>
      <c r="K30" s="261">
        <f t="shared" si="1"/>
        <v>307826.61</v>
      </c>
    </row>
    <row r="31" spans="1:11" s="240" customFormat="1" ht="12.75" x14ac:dyDescent="0.2">
      <c r="A31" s="259" t="s">
        <v>169</v>
      </c>
      <c r="B31" s="260">
        <v>12002</v>
      </c>
      <c r="C31" s="261">
        <v>244596.88</v>
      </c>
      <c r="D31" s="261">
        <v>0</v>
      </c>
      <c r="E31" s="261">
        <v>26512.51</v>
      </c>
      <c r="F31" s="261">
        <v>0</v>
      </c>
      <c r="G31" s="261">
        <v>382375.27</v>
      </c>
      <c r="H31" s="261">
        <v>25598.68</v>
      </c>
      <c r="I31" s="261">
        <f t="shared" si="0"/>
        <v>679083.34000000008</v>
      </c>
      <c r="J31" s="261">
        <v>348688.18</v>
      </c>
      <c r="K31" s="261">
        <f t="shared" si="1"/>
        <v>330395.16000000009</v>
      </c>
    </row>
    <row r="32" spans="1:11" s="240" customFormat="1" ht="12.75" x14ac:dyDescent="0.2">
      <c r="A32" s="259" t="s">
        <v>170</v>
      </c>
      <c r="B32" s="260">
        <v>50005</v>
      </c>
      <c r="C32" s="261">
        <v>65573.86</v>
      </c>
      <c r="D32" s="261">
        <v>0</v>
      </c>
      <c r="E32" s="261">
        <v>41457.64</v>
      </c>
      <c r="F32" s="261">
        <v>0</v>
      </c>
      <c r="G32" s="261">
        <v>0</v>
      </c>
      <c r="H32" s="261">
        <v>15728.99</v>
      </c>
      <c r="I32" s="261">
        <f t="shared" si="0"/>
        <v>122760.49</v>
      </c>
      <c r="J32" s="261">
        <v>0</v>
      </c>
      <c r="K32" s="261">
        <f t="shared" si="1"/>
        <v>122760.49</v>
      </c>
    </row>
    <row r="33" spans="1:11" s="240" customFormat="1" ht="12.75" x14ac:dyDescent="0.2">
      <c r="A33" s="259" t="s">
        <v>171</v>
      </c>
      <c r="B33" s="260">
        <v>59003</v>
      </c>
      <c r="C33" s="261">
        <v>58526.75</v>
      </c>
      <c r="D33" s="261">
        <v>0</v>
      </c>
      <c r="E33" s="261">
        <v>12559.04</v>
      </c>
      <c r="F33" s="261">
        <v>0</v>
      </c>
      <c r="G33" s="261">
        <v>0</v>
      </c>
      <c r="H33" s="261">
        <v>19130.84</v>
      </c>
      <c r="I33" s="261">
        <f t="shared" si="0"/>
        <v>90216.63</v>
      </c>
      <c r="J33" s="261">
        <v>0</v>
      </c>
      <c r="K33" s="261">
        <f t="shared" si="1"/>
        <v>90216.63</v>
      </c>
    </row>
    <row r="34" spans="1:11" s="240" customFormat="1" ht="12.75" x14ac:dyDescent="0.2">
      <c r="A34" s="259" t="s">
        <v>172</v>
      </c>
      <c r="B34" s="260">
        <v>21003</v>
      </c>
      <c r="C34" s="261">
        <v>116363.86</v>
      </c>
      <c r="D34" s="261">
        <v>0</v>
      </c>
      <c r="E34" s="261">
        <v>20431.009999999998</v>
      </c>
      <c r="F34" s="261">
        <v>0</v>
      </c>
      <c r="G34" s="261">
        <v>0</v>
      </c>
      <c r="H34" s="261">
        <v>23755.54</v>
      </c>
      <c r="I34" s="261">
        <f t="shared" si="0"/>
        <v>160550.41</v>
      </c>
      <c r="J34" s="261">
        <v>0</v>
      </c>
      <c r="K34" s="261">
        <f t="shared" si="1"/>
        <v>160550.41</v>
      </c>
    </row>
    <row r="35" spans="1:11" s="240" customFormat="1" ht="12.75" x14ac:dyDescent="0.2">
      <c r="A35" s="259" t="s">
        <v>173</v>
      </c>
      <c r="B35" s="260">
        <v>16001</v>
      </c>
      <c r="C35" s="261">
        <v>332337.81</v>
      </c>
      <c r="D35" s="261">
        <v>0</v>
      </c>
      <c r="E35" s="261">
        <v>38652.019999999997</v>
      </c>
      <c r="F35" s="261">
        <v>0</v>
      </c>
      <c r="G35" s="261">
        <v>0</v>
      </c>
      <c r="H35" s="261">
        <v>37525.760000000002</v>
      </c>
      <c r="I35" s="261">
        <f t="shared" si="0"/>
        <v>408515.59</v>
      </c>
      <c r="J35" s="261">
        <v>0</v>
      </c>
      <c r="K35" s="261">
        <f t="shared" si="1"/>
        <v>408515.59</v>
      </c>
    </row>
    <row r="36" spans="1:11" s="240" customFormat="1" ht="12.75" x14ac:dyDescent="0.2">
      <c r="A36" s="259" t="s">
        <v>174</v>
      </c>
      <c r="B36" s="260">
        <v>61008</v>
      </c>
      <c r="C36" s="261">
        <v>66516.929999999993</v>
      </c>
      <c r="D36" s="261">
        <v>0</v>
      </c>
      <c r="E36" s="261">
        <v>180789.97</v>
      </c>
      <c r="F36" s="261">
        <v>0</v>
      </c>
      <c r="G36" s="261">
        <v>0</v>
      </c>
      <c r="H36" s="261">
        <v>224336.37</v>
      </c>
      <c r="I36" s="261">
        <f t="shared" si="0"/>
        <v>471643.27</v>
      </c>
      <c r="J36" s="261">
        <v>0</v>
      </c>
      <c r="K36" s="261">
        <f t="shared" si="1"/>
        <v>471643.27</v>
      </c>
    </row>
    <row r="37" spans="1:11" s="240" customFormat="1" ht="12.75" x14ac:dyDescent="0.2">
      <c r="A37" s="259" t="s">
        <v>175</v>
      </c>
      <c r="B37" s="260">
        <v>38002</v>
      </c>
      <c r="C37" s="261">
        <v>53395.64</v>
      </c>
      <c r="D37" s="261">
        <v>0</v>
      </c>
      <c r="E37" s="261">
        <v>13439.38</v>
      </c>
      <c r="F37" s="261">
        <v>14460.12</v>
      </c>
      <c r="G37" s="261">
        <v>0</v>
      </c>
      <c r="H37" s="261">
        <v>53878.75</v>
      </c>
      <c r="I37" s="261">
        <f t="shared" ref="I37:I100" si="2">SUM(C37:H37)</f>
        <v>135173.89000000001</v>
      </c>
      <c r="J37" s="261">
        <v>0</v>
      </c>
      <c r="K37" s="261">
        <f t="shared" si="1"/>
        <v>135173.89000000001</v>
      </c>
    </row>
    <row r="38" spans="1:11" s="240" customFormat="1" ht="12.75" x14ac:dyDescent="0.2">
      <c r="A38" s="259" t="s">
        <v>176</v>
      </c>
      <c r="B38" s="260">
        <v>49003</v>
      </c>
      <c r="C38" s="261">
        <v>244212.38</v>
      </c>
      <c r="D38" s="261">
        <v>0</v>
      </c>
      <c r="E38" s="261">
        <v>37400.83</v>
      </c>
      <c r="F38" s="261">
        <v>0</v>
      </c>
      <c r="G38" s="261">
        <v>0</v>
      </c>
      <c r="H38" s="261">
        <v>178096.78</v>
      </c>
      <c r="I38" s="261">
        <f t="shared" si="2"/>
        <v>459709.99</v>
      </c>
      <c r="J38" s="261">
        <v>0</v>
      </c>
      <c r="K38" s="261">
        <f t="shared" si="1"/>
        <v>459709.99</v>
      </c>
    </row>
    <row r="39" spans="1:11" s="240" customFormat="1" ht="12.75" x14ac:dyDescent="0.2">
      <c r="A39" s="259" t="s">
        <v>177</v>
      </c>
      <c r="B39" s="260">
        <v>5006</v>
      </c>
      <c r="C39" s="261">
        <v>131618.59</v>
      </c>
      <c r="D39" s="261">
        <v>0</v>
      </c>
      <c r="E39" s="261">
        <v>24103.86</v>
      </c>
      <c r="F39" s="261">
        <v>2144.04</v>
      </c>
      <c r="G39" s="261">
        <v>665045.26</v>
      </c>
      <c r="H39" s="261">
        <v>50520.41</v>
      </c>
      <c r="I39" s="261">
        <f t="shared" si="2"/>
        <v>873432.16</v>
      </c>
      <c r="J39" s="261">
        <v>264607.51</v>
      </c>
      <c r="K39" s="261">
        <f t="shared" si="1"/>
        <v>608824.65</v>
      </c>
    </row>
    <row r="40" spans="1:11" s="240" customFormat="1" ht="12.75" x14ac:dyDescent="0.2">
      <c r="A40" s="259" t="s">
        <v>178</v>
      </c>
      <c r="B40" s="260">
        <v>19004</v>
      </c>
      <c r="C40" s="261">
        <v>282762.7</v>
      </c>
      <c r="D40" s="261">
        <v>0</v>
      </c>
      <c r="E40" s="261">
        <v>29008.7</v>
      </c>
      <c r="F40" s="261">
        <v>4783.82</v>
      </c>
      <c r="G40" s="261">
        <v>704004.34</v>
      </c>
      <c r="H40" s="261">
        <v>24644.67</v>
      </c>
      <c r="I40" s="261">
        <f t="shared" si="2"/>
        <v>1045204.2300000001</v>
      </c>
      <c r="J40" s="261">
        <v>704004.34</v>
      </c>
      <c r="K40" s="261">
        <f t="shared" si="1"/>
        <v>341199.89000000013</v>
      </c>
    </row>
    <row r="41" spans="1:11" s="240" customFormat="1" ht="12.75" x14ac:dyDescent="0.2">
      <c r="A41" s="259" t="s">
        <v>179</v>
      </c>
      <c r="B41" s="260">
        <v>56002</v>
      </c>
      <c r="C41" s="261">
        <v>76680.160000000003</v>
      </c>
      <c r="D41" s="261">
        <v>0</v>
      </c>
      <c r="E41" s="261">
        <v>5072.42</v>
      </c>
      <c r="F41" s="261">
        <v>0</v>
      </c>
      <c r="G41" s="261">
        <v>0</v>
      </c>
      <c r="H41" s="261">
        <v>14943.05</v>
      </c>
      <c r="I41" s="261">
        <f t="shared" si="2"/>
        <v>96695.63</v>
      </c>
      <c r="J41" s="261">
        <v>0</v>
      </c>
      <c r="K41" s="261">
        <f t="shared" si="1"/>
        <v>96695.63</v>
      </c>
    </row>
    <row r="42" spans="1:11" s="240" customFormat="1" ht="12.75" x14ac:dyDescent="0.2">
      <c r="A42" s="259" t="s">
        <v>180</v>
      </c>
      <c r="B42" s="260">
        <v>51001</v>
      </c>
      <c r="C42" s="261">
        <v>156859.04</v>
      </c>
      <c r="D42" s="261">
        <v>0</v>
      </c>
      <c r="E42" s="261">
        <v>172729.99</v>
      </c>
      <c r="F42" s="261">
        <v>0</v>
      </c>
      <c r="G42" s="261">
        <v>0</v>
      </c>
      <c r="H42" s="261">
        <v>95827.41</v>
      </c>
      <c r="I42" s="261">
        <f t="shared" si="2"/>
        <v>425416.44000000006</v>
      </c>
      <c r="J42" s="261">
        <v>0</v>
      </c>
      <c r="K42" s="261">
        <f t="shared" si="1"/>
        <v>425416.44000000006</v>
      </c>
    </row>
    <row r="43" spans="1:11" s="240" customFormat="1" ht="12.75" x14ac:dyDescent="0.2">
      <c r="A43" s="259" t="s">
        <v>181</v>
      </c>
      <c r="B43" s="260">
        <v>64002</v>
      </c>
      <c r="C43" s="261">
        <v>29223.1</v>
      </c>
      <c r="D43" s="261">
        <v>0</v>
      </c>
      <c r="E43" s="261">
        <v>466.05</v>
      </c>
      <c r="F43" s="261">
        <v>0</v>
      </c>
      <c r="G43" s="261">
        <v>0</v>
      </c>
      <c r="H43" s="261">
        <v>1405.96</v>
      </c>
      <c r="I43" s="261">
        <f t="shared" si="2"/>
        <v>31095.109999999997</v>
      </c>
      <c r="J43" s="261">
        <v>0</v>
      </c>
      <c r="K43" s="261">
        <f t="shared" si="1"/>
        <v>31095.109999999997</v>
      </c>
    </row>
    <row r="44" spans="1:11" s="240" customFormat="1" ht="12.75" x14ac:dyDescent="0.2">
      <c r="A44" s="259" t="s">
        <v>182</v>
      </c>
      <c r="B44" s="260">
        <v>20001</v>
      </c>
      <c r="C44" s="261">
        <v>90172.64</v>
      </c>
      <c r="D44" s="261">
        <v>0</v>
      </c>
      <c r="E44" s="261">
        <v>10393.07</v>
      </c>
      <c r="F44" s="261">
        <v>0</v>
      </c>
      <c r="G44" s="261">
        <v>0</v>
      </c>
      <c r="H44" s="261">
        <v>11393.73</v>
      </c>
      <c r="I44" s="261">
        <f t="shared" si="2"/>
        <v>111959.43999999999</v>
      </c>
      <c r="J44" s="261">
        <v>0</v>
      </c>
      <c r="K44" s="261">
        <f t="shared" si="1"/>
        <v>111959.43999999999</v>
      </c>
    </row>
    <row r="45" spans="1:11" s="240" customFormat="1" ht="12.75" x14ac:dyDescent="0.2">
      <c r="A45" s="259" t="s">
        <v>183</v>
      </c>
      <c r="B45" s="260">
        <v>23001</v>
      </c>
      <c r="C45" s="261">
        <v>39405.53</v>
      </c>
      <c r="D45" s="261">
        <v>0</v>
      </c>
      <c r="E45" s="261">
        <v>14986.7</v>
      </c>
      <c r="F45" s="261">
        <v>2404.9899999999998</v>
      </c>
      <c r="G45" s="261">
        <v>0</v>
      </c>
      <c r="H45" s="261">
        <v>4833.54</v>
      </c>
      <c r="I45" s="261">
        <f t="shared" si="2"/>
        <v>61630.759999999995</v>
      </c>
      <c r="J45" s="261">
        <v>0</v>
      </c>
      <c r="K45" s="261">
        <f t="shared" si="1"/>
        <v>61630.759999999995</v>
      </c>
    </row>
    <row r="46" spans="1:11" s="240" customFormat="1" ht="12.75" x14ac:dyDescent="0.2">
      <c r="A46" s="259" t="s">
        <v>184</v>
      </c>
      <c r="B46" s="260">
        <v>22005</v>
      </c>
      <c r="C46" s="261">
        <v>54098.87</v>
      </c>
      <c r="D46" s="261">
        <v>0</v>
      </c>
      <c r="E46" s="261">
        <v>14661.29</v>
      </c>
      <c r="F46" s="261">
        <v>1839.51</v>
      </c>
      <c r="G46" s="261">
        <v>0</v>
      </c>
      <c r="H46" s="261">
        <v>16931.45</v>
      </c>
      <c r="I46" s="261">
        <f t="shared" si="2"/>
        <v>87531.12</v>
      </c>
      <c r="J46" s="261">
        <v>0</v>
      </c>
      <c r="K46" s="261">
        <f t="shared" si="1"/>
        <v>87531.12</v>
      </c>
    </row>
    <row r="47" spans="1:11" s="240" customFormat="1" ht="12.75" x14ac:dyDescent="0.2">
      <c r="A47" s="259" t="s">
        <v>185</v>
      </c>
      <c r="B47" s="260">
        <v>16002</v>
      </c>
      <c r="C47" s="261">
        <v>5045.8599999999997</v>
      </c>
      <c r="D47" s="261">
        <v>0</v>
      </c>
      <c r="E47" s="261">
        <v>738.73</v>
      </c>
      <c r="F47" s="261">
        <v>0</v>
      </c>
      <c r="G47" s="261">
        <v>0</v>
      </c>
      <c r="H47" s="261">
        <v>287.08</v>
      </c>
      <c r="I47" s="261">
        <f t="shared" si="2"/>
        <v>6071.67</v>
      </c>
      <c r="J47" s="261">
        <v>0</v>
      </c>
      <c r="K47" s="261">
        <f t="shared" si="1"/>
        <v>6071.67</v>
      </c>
    </row>
    <row r="48" spans="1:11" s="240" customFormat="1" ht="12.75" x14ac:dyDescent="0.2">
      <c r="A48" s="259" t="s">
        <v>186</v>
      </c>
      <c r="B48" s="260">
        <v>61007</v>
      </c>
      <c r="C48" s="261">
        <v>109874.49</v>
      </c>
      <c r="D48" s="261">
        <v>0</v>
      </c>
      <c r="E48" s="261">
        <v>96430.54</v>
      </c>
      <c r="F48" s="261">
        <v>0</v>
      </c>
      <c r="G48" s="261">
        <v>0</v>
      </c>
      <c r="H48" s="261">
        <v>74464.31</v>
      </c>
      <c r="I48" s="261">
        <f t="shared" si="2"/>
        <v>280769.33999999997</v>
      </c>
      <c r="J48" s="261">
        <v>0</v>
      </c>
      <c r="K48" s="261">
        <f t="shared" si="1"/>
        <v>280769.33999999997</v>
      </c>
    </row>
    <row r="49" spans="1:11" s="240" customFormat="1" ht="12.75" x14ac:dyDescent="0.2">
      <c r="A49" s="259" t="s">
        <v>187</v>
      </c>
      <c r="B49" s="260">
        <v>5003</v>
      </c>
      <c r="C49" s="261">
        <v>114771.31</v>
      </c>
      <c r="D49" s="261">
        <v>0</v>
      </c>
      <c r="E49" s="261">
        <v>26297.16</v>
      </c>
      <c r="F49" s="261">
        <v>0</v>
      </c>
      <c r="G49" s="261">
        <v>108340.23</v>
      </c>
      <c r="H49" s="261">
        <v>68565.31</v>
      </c>
      <c r="I49" s="261">
        <f t="shared" si="2"/>
        <v>317974.01</v>
      </c>
      <c r="J49" s="261">
        <v>0</v>
      </c>
      <c r="K49" s="261">
        <f t="shared" si="1"/>
        <v>317974.01</v>
      </c>
    </row>
    <row r="50" spans="1:11" s="240" customFormat="1" ht="12.75" x14ac:dyDescent="0.2">
      <c r="A50" s="259" t="s">
        <v>188</v>
      </c>
      <c r="B50" s="260">
        <v>28002</v>
      </c>
      <c r="C50" s="261">
        <v>116550.1</v>
      </c>
      <c r="D50" s="261">
        <v>0</v>
      </c>
      <c r="E50" s="261">
        <v>14059.28</v>
      </c>
      <c r="F50" s="261">
        <v>130.88999999999999</v>
      </c>
      <c r="G50" s="261">
        <v>46034.42</v>
      </c>
      <c r="H50" s="261">
        <v>24884.49</v>
      </c>
      <c r="I50" s="261">
        <f t="shared" si="2"/>
        <v>201659.18</v>
      </c>
      <c r="J50" s="261">
        <v>46034.42</v>
      </c>
      <c r="K50" s="261">
        <f t="shared" si="1"/>
        <v>155624.76</v>
      </c>
    </row>
    <row r="51" spans="1:11" s="240" customFormat="1" ht="12.75" x14ac:dyDescent="0.2">
      <c r="A51" s="259" t="s">
        <v>189</v>
      </c>
      <c r="B51" s="260">
        <v>17001</v>
      </c>
      <c r="C51" s="261">
        <v>25400.9</v>
      </c>
      <c r="D51" s="261">
        <v>0</v>
      </c>
      <c r="E51" s="261">
        <v>15873.99</v>
      </c>
      <c r="F51" s="261">
        <v>436.27</v>
      </c>
      <c r="G51" s="261">
        <v>0</v>
      </c>
      <c r="H51" s="261">
        <v>9036.7199999999993</v>
      </c>
      <c r="I51" s="261">
        <f t="shared" si="2"/>
        <v>50747.88</v>
      </c>
      <c r="J51" s="261">
        <v>0</v>
      </c>
      <c r="K51" s="261">
        <f t="shared" si="1"/>
        <v>50747.88</v>
      </c>
    </row>
    <row r="52" spans="1:11" s="240" customFormat="1" ht="12.75" x14ac:dyDescent="0.2">
      <c r="A52" s="259" t="s">
        <v>190</v>
      </c>
      <c r="B52" s="260">
        <v>44001</v>
      </c>
      <c r="C52" s="261">
        <v>35502.86</v>
      </c>
      <c r="D52" s="261">
        <v>0</v>
      </c>
      <c r="E52" s="261">
        <v>4504.1000000000004</v>
      </c>
      <c r="F52" s="261">
        <v>917.09</v>
      </c>
      <c r="G52" s="261">
        <v>0</v>
      </c>
      <c r="H52" s="261">
        <v>19472.89</v>
      </c>
      <c r="I52" s="261">
        <f t="shared" si="2"/>
        <v>60396.939999999995</v>
      </c>
      <c r="J52" s="261">
        <v>0</v>
      </c>
      <c r="K52" s="261">
        <f t="shared" si="1"/>
        <v>60396.939999999995</v>
      </c>
    </row>
    <row r="53" spans="1:11" s="240" customFormat="1" ht="12.75" x14ac:dyDescent="0.2">
      <c r="A53" s="259" t="s">
        <v>191</v>
      </c>
      <c r="B53" s="260">
        <v>46002</v>
      </c>
      <c r="C53" s="261">
        <v>24615.040000000001</v>
      </c>
      <c r="D53" s="261">
        <v>0</v>
      </c>
      <c r="E53" s="261">
        <v>15936.48</v>
      </c>
      <c r="F53" s="261">
        <v>0</v>
      </c>
      <c r="G53" s="261">
        <v>0</v>
      </c>
      <c r="H53" s="261">
        <v>8114.06</v>
      </c>
      <c r="I53" s="261">
        <f t="shared" si="2"/>
        <v>48665.58</v>
      </c>
      <c r="J53" s="261">
        <v>0</v>
      </c>
      <c r="K53" s="261">
        <f t="shared" si="1"/>
        <v>48665.58</v>
      </c>
    </row>
    <row r="54" spans="1:11" s="240" customFormat="1" ht="12.75" x14ac:dyDescent="0.2">
      <c r="A54" s="259" t="s">
        <v>296</v>
      </c>
      <c r="B54" s="260">
        <v>24004</v>
      </c>
      <c r="C54" s="261">
        <v>118904.27</v>
      </c>
      <c r="D54" s="261">
        <v>0</v>
      </c>
      <c r="E54" s="261">
        <v>20192.03</v>
      </c>
      <c r="F54" s="261">
        <v>0</v>
      </c>
      <c r="G54" s="261">
        <v>0</v>
      </c>
      <c r="H54" s="261">
        <v>25829.1</v>
      </c>
      <c r="I54" s="261">
        <f t="shared" si="2"/>
        <v>164925.4</v>
      </c>
      <c r="J54" s="261">
        <v>0</v>
      </c>
      <c r="K54" s="261">
        <f t="shared" si="1"/>
        <v>164925.4</v>
      </c>
    </row>
    <row r="55" spans="1:11" s="240" customFormat="1" ht="12.75" x14ac:dyDescent="0.2">
      <c r="A55" s="259" t="s">
        <v>193</v>
      </c>
      <c r="B55" s="260">
        <v>50003</v>
      </c>
      <c r="C55" s="261">
        <v>84068.25</v>
      </c>
      <c r="D55" s="261">
        <v>0</v>
      </c>
      <c r="E55" s="261">
        <v>102447.01</v>
      </c>
      <c r="F55" s="261">
        <v>0</v>
      </c>
      <c r="G55" s="261">
        <v>0</v>
      </c>
      <c r="H55" s="261">
        <v>25383</v>
      </c>
      <c r="I55" s="261">
        <f t="shared" si="2"/>
        <v>211898.26</v>
      </c>
      <c r="J55" s="261">
        <v>0</v>
      </c>
      <c r="K55" s="261">
        <f t="shared" si="1"/>
        <v>211898.26</v>
      </c>
    </row>
    <row r="56" spans="1:11" s="240" customFormat="1" ht="12.75" x14ac:dyDescent="0.2">
      <c r="A56" s="259" t="s">
        <v>194</v>
      </c>
      <c r="B56" s="260">
        <v>14001</v>
      </c>
      <c r="C56" s="261">
        <v>40463.410000000003</v>
      </c>
      <c r="D56" s="261">
        <v>0</v>
      </c>
      <c r="E56" s="261">
        <v>15279.93</v>
      </c>
      <c r="F56" s="261">
        <v>0</v>
      </c>
      <c r="G56" s="261">
        <v>0</v>
      </c>
      <c r="H56" s="261">
        <v>19739.53</v>
      </c>
      <c r="I56" s="261">
        <f t="shared" si="2"/>
        <v>75482.87</v>
      </c>
      <c r="J56" s="261">
        <v>0</v>
      </c>
      <c r="K56" s="261">
        <f t="shared" si="1"/>
        <v>75482.87</v>
      </c>
    </row>
    <row r="57" spans="1:11" s="240" customFormat="1" ht="12.75" x14ac:dyDescent="0.2">
      <c r="A57" s="259" t="s">
        <v>195</v>
      </c>
      <c r="B57" s="260">
        <v>6002</v>
      </c>
      <c r="C57" s="261">
        <v>61729.29</v>
      </c>
      <c r="D57" s="261">
        <v>0</v>
      </c>
      <c r="E57" s="261">
        <v>6980.35</v>
      </c>
      <c r="F57" s="261">
        <v>0</v>
      </c>
      <c r="G57" s="261">
        <v>0</v>
      </c>
      <c r="H57" s="261">
        <v>28039.65</v>
      </c>
      <c r="I57" s="261">
        <f t="shared" si="2"/>
        <v>96749.290000000008</v>
      </c>
      <c r="J57" s="261">
        <v>0</v>
      </c>
      <c r="K57" s="261">
        <f t="shared" si="1"/>
        <v>96749.290000000008</v>
      </c>
    </row>
    <row r="58" spans="1:11" s="240" customFormat="1" ht="12.75" x14ac:dyDescent="0.2">
      <c r="A58" s="259" t="s">
        <v>196</v>
      </c>
      <c r="B58" s="260">
        <v>33001</v>
      </c>
      <c r="C58" s="261">
        <v>135709.68</v>
      </c>
      <c r="D58" s="261">
        <v>0</v>
      </c>
      <c r="E58" s="261">
        <v>15173.26</v>
      </c>
      <c r="F58" s="261">
        <v>0</v>
      </c>
      <c r="G58" s="261">
        <v>0</v>
      </c>
      <c r="H58" s="261">
        <v>49237</v>
      </c>
      <c r="I58" s="261">
        <f t="shared" si="2"/>
        <v>200119.94</v>
      </c>
      <c r="J58" s="261">
        <v>0</v>
      </c>
      <c r="K58" s="261">
        <f t="shared" si="1"/>
        <v>200119.94</v>
      </c>
    </row>
    <row r="59" spans="1:11" s="240" customFormat="1" ht="12.75" x14ac:dyDescent="0.2">
      <c r="A59" s="259" t="s">
        <v>197</v>
      </c>
      <c r="B59" s="260">
        <v>49004</v>
      </c>
      <c r="C59" s="261">
        <v>122531.64</v>
      </c>
      <c r="D59" s="261">
        <v>0</v>
      </c>
      <c r="E59" s="261">
        <v>15254.9</v>
      </c>
      <c r="F59" s="261">
        <v>0</v>
      </c>
      <c r="G59" s="261">
        <v>0</v>
      </c>
      <c r="H59" s="261">
        <v>87175.55</v>
      </c>
      <c r="I59" s="261">
        <f t="shared" si="2"/>
        <v>224962.09000000003</v>
      </c>
      <c r="J59" s="261">
        <v>0</v>
      </c>
      <c r="K59" s="261">
        <f t="shared" si="1"/>
        <v>224962.09000000003</v>
      </c>
    </row>
    <row r="60" spans="1:11" s="240" customFormat="1" ht="12.75" x14ac:dyDescent="0.2">
      <c r="A60" s="259" t="s">
        <v>198</v>
      </c>
      <c r="B60" s="260">
        <v>63001</v>
      </c>
      <c r="C60" s="261">
        <v>37511.769999999997</v>
      </c>
      <c r="D60" s="261">
        <v>0</v>
      </c>
      <c r="E60" s="261">
        <v>17996.669999999998</v>
      </c>
      <c r="F60" s="261">
        <v>0</v>
      </c>
      <c r="G60" s="261">
        <v>0</v>
      </c>
      <c r="H60" s="261">
        <v>32343.47</v>
      </c>
      <c r="I60" s="261">
        <f t="shared" si="2"/>
        <v>87851.91</v>
      </c>
      <c r="J60" s="261">
        <v>0</v>
      </c>
      <c r="K60" s="261">
        <f t="shared" si="1"/>
        <v>87851.91</v>
      </c>
    </row>
    <row r="61" spans="1:11" s="240" customFormat="1" ht="12.75" x14ac:dyDescent="0.2">
      <c r="A61" s="259" t="s">
        <v>199</v>
      </c>
      <c r="B61" s="260">
        <v>53001</v>
      </c>
      <c r="C61" s="261">
        <v>74833.649999999994</v>
      </c>
      <c r="D61" s="261">
        <v>0</v>
      </c>
      <c r="E61" s="261">
        <v>19295.02</v>
      </c>
      <c r="F61" s="261">
        <v>0</v>
      </c>
      <c r="G61" s="261">
        <v>0</v>
      </c>
      <c r="H61" s="261">
        <v>15345.99</v>
      </c>
      <c r="I61" s="261">
        <f t="shared" si="2"/>
        <v>109474.66</v>
      </c>
      <c r="J61" s="261">
        <v>0</v>
      </c>
      <c r="K61" s="261">
        <f t="shared" si="1"/>
        <v>109474.66</v>
      </c>
    </row>
    <row r="62" spans="1:11" s="240" customFormat="1" ht="12.75" x14ac:dyDescent="0.2">
      <c r="A62" s="259" t="s">
        <v>200</v>
      </c>
      <c r="B62" s="260">
        <v>26004</v>
      </c>
      <c r="C62" s="261">
        <v>140550.63</v>
      </c>
      <c r="D62" s="261">
        <v>0</v>
      </c>
      <c r="E62" s="261">
        <v>14099.75</v>
      </c>
      <c r="F62" s="261">
        <v>0</v>
      </c>
      <c r="G62" s="261">
        <v>0</v>
      </c>
      <c r="H62" s="261">
        <v>33201.49</v>
      </c>
      <c r="I62" s="261">
        <f t="shared" si="2"/>
        <v>187851.87</v>
      </c>
      <c r="J62" s="261">
        <v>0</v>
      </c>
      <c r="K62" s="261">
        <f t="shared" si="1"/>
        <v>187851.87</v>
      </c>
    </row>
    <row r="63" spans="1:11" s="240" customFormat="1" ht="12.75" x14ac:dyDescent="0.2">
      <c r="A63" s="259" t="s">
        <v>201</v>
      </c>
      <c r="B63" s="260">
        <v>6006</v>
      </c>
      <c r="C63" s="261">
        <v>715761.91</v>
      </c>
      <c r="D63" s="261">
        <v>0</v>
      </c>
      <c r="E63" s="261">
        <v>34906.33</v>
      </c>
      <c r="F63" s="261">
        <v>0</v>
      </c>
      <c r="G63" s="261">
        <v>174688.49</v>
      </c>
      <c r="H63" s="261">
        <v>81883.740000000005</v>
      </c>
      <c r="I63" s="261">
        <f t="shared" si="2"/>
        <v>1007240.47</v>
      </c>
      <c r="J63" s="261">
        <v>0</v>
      </c>
      <c r="K63" s="261">
        <f t="shared" si="1"/>
        <v>1007240.47</v>
      </c>
    </row>
    <row r="64" spans="1:11" s="240" customFormat="1" ht="12.75" x14ac:dyDescent="0.2">
      <c r="A64" s="259" t="s">
        <v>202</v>
      </c>
      <c r="B64" s="260">
        <v>27001</v>
      </c>
      <c r="C64" s="261">
        <v>115151.87999999999</v>
      </c>
      <c r="D64" s="261">
        <v>0</v>
      </c>
      <c r="E64" s="261">
        <v>17046.919999999998</v>
      </c>
      <c r="F64" s="261">
        <v>0</v>
      </c>
      <c r="G64" s="261">
        <v>0</v>
      </c>
      <c r="H64" s="261">
        <v>87803.16</v>
      </c>
      <c r="I64" s="261">
        <f t="shared" si="2"/>
        <v>220001.96</v>
      </c>
      <c r="J64" s="261">
        <v>0</v>
      </c>
      <c r="K64" s="261">
        <f t="shared" si="1"/>
        <v>220001.96</v>
      </c>
    </row>
    <row r="65" spans="1:11" s="240" customFormat="1" ht="12.75" x14ac:dyDescent="0.2">
      <c r="A65" s="259" t="s">
        <v>203</v>
      </c>
      <c r="B65" s="260">
        <v>28003</v>
      </c>
      <c r="C65" s="261">
        <v>236334.3</v>
      </c>
      <c r="D65" s="261">
        <v>0</v>
      </c>
      <c r="E65" s="261">
        <v>46976.639999999999</v>
      </c>
      <c r="F65" s="261">
        <v>2577.34</v>
      </c>
      <c r="G65" s="261">
        <v>0</v>
      </c>
      <c r="H65" s="261">
        <v>46369.64</v>
      </c>
      <c r="I65" s="261">
        <f t="shared" si="2"/>
        <v>332257.92000000004</v>
      </c>
      <c r="J65" s="261">
        <v>0</v>
      </c>
      <c r="K65" s="261">
        <f t="shared" si="1"/>
        <v>332257.92000000004</v>
      </c>
    </row>
    <row r="66" spans="1:11" s="240" customFormat="1" ht="12.75" x14ac:dyDescent="0.2">
      <c r="A66" s="259" t="s">
        <v>204</v>
      </c>
      <c r="B66" s="260">
        <v>30001</v>
      </c>
      <c r="C66" s="261">
        <v>90408.17</v>
      </c>
      <c r="D66" s="261">
        <v>0</v>
      </c>
      <c r="E66" s="261">
        <v>29167</v>
      </c>
      <c r="F66" s="261">
        <v>0</v>
      </c>
      <c r="G66" s="261">
        <v>0</v>
      </c>
      <c r="H66" s="261">
        <v>8439.65</v>
      </c>
      <c r="I66" s="261">
        <f t="shared" si="2"/>
        <v>128014.81999999999</v>
      </c>
      <c r="J66" s="261">
        <v>0</v>
      </c>
      <c r="K66" s="261">
        <f t="shared" si="1"/>
        <v>128014.81999999999</v>
      </c>
    </row>
    <row r="67" spans="1:11" s="240" customFormat="1" ht="12.75" x14ac:dyDescent="0.2">
      <c r="A67" s="259" t="s">
        <v>205</v>
      </c>
      <c r="B67" s="260">
        <v>31001</v>
      </c>
      <c r="C67" s="261">
        <v>176195.98</v>
      </c>
      <c r="D67" s="261">
        <v>0</v>
      </c>
      <c r="E67" s="261">
        <v>21841.5</v>
      </c>
      <c r="F67" s="261">
        <v>0</v>
      </c>
      <c r="G67" s="261">
        <v>0</v>
      </c>
      <c r="H67" s="261">
        <v>18495.939999999999</v>
      </c>
      <c r="I67" s="261">
        <f t="shared" si="2"/>
        <v>216533.42</v>
      </c>
      <c r="J67" s="261">
        <v>0</v>
      </c>
      <c r="K67" s="261">
        <f t="shared" si="1"/>
        <v>216533.42</v>
      </c>
    </row>
    <row r="68" spans="1:11" s="240" customFormat="1" ht="12.75" x14ac:dyDescent="0.2">
      <c r="A68" s="259" t="s">
        <v>206</v>
      </c>
      <c r="B68" s="260">
        <v>41002</v>
      </c>
      <c r="C68" s="261">
        <v>317426.99</v>
      </c>
      <c r="D68" s="261">
        <v>0</v>
      </c>
      <c r="E68" s="261">
        <v>194207.16</v>
      </c>
      <c r="F68" s="261">
        <v>0</v>
      </c>
      <c r="G68" s="261">
        <v>0</v>
      </c>
      <c r="H68" s="261">
        <v>776009.02</v>
      </c>
      <c r="I68" s="261">
        <f t="shared" si="2"/>
        <v>1287643.17</v>
      </c>
      <c r="J68" s="261">
        <v>0</v>
      </c>
      <c r="K68" s="261">
        <f t="shared" si="1"/>
        <v>1287643.17</v>
      </c>
    </row>
    <row r="69" spans="1:11" s="240" customFormat="1" ht="12.75" x14ac:dyDescent="0.2">
      <c r="A69" s="259" t="s">
        <v>207</v>
      </c>
      <c r="B69" s="260">
        <v>14002</v>
      </c>
      <c r="C69" s="261">
        <v>22540.5</v>
      </c>
      <c r="D69" s="261">
        <v>0</v>
      </c>
      <c r="E69" s="261">
        <v>13959.38</v>
      </c>
      <c r="F69" s="261">
        <v>0</v>
      </c>
      <c r="G69" s="261">
        <v>0</v>
      </c>
      <c r="H69" s="261">
        <v>17390.46</v>
      </c>
      <c r="I69" s="261">
        <f t="shared" si="2"/>
        <v>53890.34</v>
      </c>
      <c r="J69" s="261">
        <v>0</v>
      </c>
      <c r="K69" s="261">
        <f t="shared" ref="K69:K132" si="3">I69-J69</f>
        <v>53890.34</v>
      </c>
    </row>
    <row r="70" spans="1:11" s="240" customFormat="1" ht="12.75" x14ac:dyDescent="0.2">
      <c r="A70" s="259" t="s">
        <v>208</v>
      </c>
      <c r="B70" s="260">
        <v>10001</v>
      </c>
      <c r="C70" s="261">
        <v>21109.41</v>
      </c>
      <c r="D70" s="261">
        <v>0</v>
      </c>
      <c r="E70" s="261">
        <v>18902.669999999998</v>
      </c>
      <c r="F70" s="261">
        <v>313.39</v>
      </c>
      <c r="G70" s="261">
        <v>0</v>
      </c>
      <c r="H70" s="261">
        <v>22940.66</v>
      </c>
      <c r="I70" s="261">
        <f t="shared" si="2"/>
        <v>63266.130000000005</v>
      </c>
      <c r="J70" s="261">
        <v>0</v>
      </c>
      <c r="K70" s="261">
        <f t="shared" si="3"/>
        <v>63266.130000000005</v>
      </c>
    </row>
    <row r="71" spans="1:11" s="240" customFormat="1" ht="12.75" x14ac:dyDescent="0.2">
      <c r="A71" s="259" t="s">
        <v>209</v>
      </c>
      <c r="B71" s="260">
        <v>34002</v>
      </c>
      <c r="C71" s="261">
        <v>137666.42000000001</v>
      </c>
      <c r="D71" s="261">
        <v>0</v>
      </c>
      <c r="E71" s="261">
        <v>4146.5</v>
      </c>
      <c r="F71" s="261">
        <v>0</v>
      </c>
      <c r="G71" s="261">
        <v>456289.3</v>
      </c>
      <c r="H71" s="261">
        <v>52422.99</v>
      </c>
      <c r="I71" s="261">
        <f t="shared" si="2"/>
        <v>650525.21</v>
      </c>
      <c r="J71" s="261">
        <v>456289.30000000005</v>
      </c>
      <c r="K71" s="261">
        <f t="shared" si="3"/>
        <v>194235.90999999992</v>
      </c>
    </row>
    <row r="72" spans="1:11" s="240" customFormat="1" ht="12.75" x14ac:dyDescent="0.2">
      <c r="A72" s="259" t="s">
        <v>210</v>
      </c>
      <c r="B72" s="260">
        <v>51002</v>
      </c>
      <c r="C72" s="261">
        <v>78226.929999999993</v>
      </c>
      <c r="D72" s="261">
        <v>0</v>
      </c>
      <c r="E72" s="261">
        <v>17060.59</v>
      </c>
      <c r="F72" s="261">
        <v>0</v>
      </c>
      <c r="G72" s="261">
        <v>0</v>
      </c>
      <c r="H72" s="261">
        <v>102952.15</v>
      </c>
      <c r="I72" s="261">
        <f t="shared" si="2"/>
        <v>198239.66999999998</v>
      </c>
      <c r="J72" s="261">
        <v>0</v>
      </c>
      <c r="K72" s="261">
        <f t="shared" si="3"/>
        <v>198239.66999999998</v>
      </c>
    </row>
    <row r="73" spans="1:11" s="240" customFormat="1" ht="12.75" x14ac:dyDescent="0.2">
      <c r="A73" s="259" t="s">
        <v>211</v>
      </c>
      <c r="B73" s="260">
        <v>56006</v>
      </c>
      <c r="C73" s="261">
        <v>100836.79</v>
      </c>
      <c r="D73" s="261">
        <v>0</v>
      </c>
      <c r="E73" s="261">
        <v>8364.58</v>
      </c>
      <c r="F73" s="261">
        <v>3553.43</v>
      </c>
      <c r="G73" s="261">
        <v>0</v>
      </c>
      <c r="H73" s="261">
        <v>56944.6</v>
      </c>
      <c r="I73" s="261">
        <f t="shared" si="2"/>
        <v>169699.4</v>
      </c>
      <c r="J73" s="261">
        <v>0</v>
      </c>
      <c r="K73" s="261">
        <f t="shared" si="3"/>
        <v>169699.4</v>
      </c>
    </row>
    <row r="74" spans="1:11" s="240" customFormat="1" ht="12.75" x14ac:dyDescent="0.2">
      <c r="A74" s="259" t="s">
        <v>212</v>
      </c>
      <c r="B74" s="260">
        <v>23002</v>
      </c>
      <c r="C74" s="261">
        <v>246883.59</v>
      </c>
      <c r="D74" s="261">
        <v>0</v>
      </c>
      <c r="E74" s="261">
        <v>84220.22</v>
      </c>
      <c r="F74" s="261">
        <v>34089.56</v>
      </c>
      <c r="G74" s="261">
        <v>0</v>
      </c>
      <c r="H74" s="261">
        <v>15125.47</v>
      </c>
      <c r="I74" s="261">
        <f t="shared" si="2"/>
        <v>380318.83999999997</v>
      </c>
      <c r="J74" s="261">
        <v>0</v>
      </c>
      <c r="K74" s="261">
        <f t="shared" si="3"/>
        <v>380318.83999999997</v>
      </c>
    </row>
    <row r="75" spans="1:11" s="240" customFormat="1" ht="12.75" x14ac:dyDescent="0.2">
      <c r="A75" s="259" t="s">
        <v>213</v>
      </c>
      <c r="B75" s="260">
        <v>53002</v>
      </c>
      <c r="C75" s="261">
        <v>94706.27</v>
      </c>
      <c r="D75" s="261">
        <v>0</v>
      </c>
      <c r="E75" s="261">
        <v>9271.08</v>
      </c>
      <c r="F75" s="261">
        <v>0</v>
      </c>
      <c r="G75" s="261">
        <v>0</v>
      </c>
      <c r="H75" s="261">
        <v>16635.080000000002</v>
      </c>
      <c r="I75" s="261">
        <f t="shared" si="2"/>
        <v>120612.43000000001</v>
      </c>
      <c r="J75" s="261">
        <v>0</v>
      </c>
      <c r="K75" s="261">
        <f t="shared" si="3"/>
        <v>120612.43000000001</v>
      </c>
    </row>
    <row r="76" spans="1:11" s="240" customFormat="1" ht="12.75" x14ac:dyDescent="0.2">
      <c r="A76" s="259" t="s">
        <v>214</v>
      </c>
      <c r="B76" s="260">
        <v>48003</v>
      </c>
      <c r="C76" s="261">
        <v>401898.09</v>
      </c>
      <c r="D76" s="261">
        <v>0</v>
      </c>
      <c r="E76" s="261">
        <v>9524.7999999999993</v>
      </c>
      <c r="F76" s="261">
        <v>1683.34</v>
      </c>
      <c r="G76" s="261">
        <v>0</v>
      </c>
      <c r="H76" s="261">
        <v>19172.14</v>
      </c>
      <c r="I76" s="261">
        <f t="shared" si="2"/>
        <v>432278.37000000005</v>
      </c>
      <c r="J76" s="261">
        <v>0</v>
      </c>
      <c r="K76" s="261">
        <f t="shared" si="3"/>
        <v>432278.37000000005</v>
      </c>
    </row>
    <row r="77" spans="1:11" s="240" customFormat="1" ht="12.75" x14ac:dyDescent="0.2">
      <c r="A77" s="259" t="s">
        <v>215</v>
      </c>
      <c r="B77" s="260">
        <v>2002</v>
      </c>
      <c r="C77" s="261">
        <v>372308.66</v>
      </c>
      <c r="D77" s="261">
        <v>8866.5499999999993</v>
      </c>
      <c r="E77" s="261">
        <v>170764.59</v>
      </c>
      <c r="F77" s="261">
        <v>3835.12</v>
      </c>
      <c r="G77" s="261">
        <v>0</v>
      </c>
      <c r="H77" s="261">
        <v>254363.59</v>
      </c>
      <c r="I77" s="261">
        <f t="shared" si="2"/>
        <v>810138.50999999989</v>
      </c>
      <c r="J77" s="261">
        <v>0</v>
      </c>
      <c r="K77" s="261">
        <f t="shared" si="3"/>
        <v>810138.50999999989</v>
      </c>
    </row>
    <row r="78" spans="1:11" s="240" customFormat="1" ht="12.75" x14ac:dyDescent="0.2">
      <c r="A78" s="259" t="s">
        <v>216</v>
      </c>
      <c r="B78" s="260">
        <v>22006</v>
      </c>
      <c r="C78" s="261">
        <v>381388.69</v>
      </c>
      <c r="D78" s="261">
        <v>0</v>
      </c>
      <c r="E78" s="261">
        <v>36924.559999999998</v>
      </c>
      <c r="F78" s="261">
        <v>506.77</v>
      </c>
      <c r="G78" s="261">
        <v>0</v>
      </c>
      <c r="H78" s="261">
        <v>32255.86</v>
      </c>
      <c r="I78" s="261">
        <f t="shared" si="2"/>
        <v>451075.88</v>
      </c>
      <c r="J78" s="261">
        <v>0</v>
      </c>
      <c r="K78" s="261">
        <f t="shared" si="3"/>
        <v>451075.88</v>
      </c>
    </row>
    <row r="79" spans="1:11" s="240" customFormat="1" ht="12.75" x14ac:dyDescent="0.2">
      <c r="A79" s="259" t="s">
        <v>217</v>
      </c>
      <c r="B79" s="260">
        <v>13003</v>
      </c>
      <c r="C79" s="261">
        <v>84925.14</v>
      </c>
      <c r="D79" s="261">
        <v>0</v>
      </c>
      <c r="E79" s="261">
        <v>26677.74</v>
      </c>
      <c r="F79" s="261">
        <v>0</v>
      </c>
      <c r="G79" s="261">
        <v>0</v>
      </c>
      <c r="H79" s="261">
        <v>48451.3</v>
      </c>
      <c r="I79" s="261">
        <f t="shared" si="2"/>
        <v>160054.18</v>
      </c>
      <c r="J79" s="261">
        <v>0</v>
      </c>
      <c r="K79" s="261">
        <f t="shared" si="3"/>
        <v>160054.18</v>
      </c>
    </row>
    <row r="80" spans="1:11" s="240" customFormat="1" ht="12.75" x14ac:dyDescent="0.2">
      <c r="A80" s="259" t="s">
        <v>218</v>
      </c>
      <c r="B80" s="260">
        <v>2003</v>
      </c>
      <c r="C80" s="261">
        <v>52808.02</v>
      </c>
      <c r="D80" s="261">
        <v>0</v>
      </c>
      <c r="E80" s="261">
        <v>8758.99</v>
      </c>
      <c r="F80" s="261">
        <v>2679.52</v>
      </c>
      <c r="G80" s="261">
        <v>0</v>
      </c>
      <c r="H80" s="261">
        <v>40433.89</v>
      </c>
      <c r="I80" s="261">
        <f t="shared" si="2"/>
        <v>104680.41999999998</v>
      </c>
      <c r="J80" s="261">
        <v>0</v>
      </c>
      <c r="K80" s="261">
        <f t="shared" si="3"/>
        <v>104680.41999999998</v>
      </c>
    </row>
    <row r="81" spans="1:11" s="240" customFormat="1" ht="12.75" x14ac:dyDescent="0.2">
      <c r="A81" s="259" t="s">
        <v>219</v>
      </c>
      <c r="B81" s="260">
        <v>37003</v>
      </c>
      <c r="C81" s="261">
        <v>89996.85</v>
      </c>
      <c r="D81" s="261">
        <v>0</v>
      </c>
      <c r="E81" s="261">
        <v>50503.5</v>
      </c>
      <c r="F81" s="261">
        <v>0</v>
      </c>
      <c r="G81" s="261">
        <v>0</v>
      </c>
      <c r="H81" s="261">
        <v>43564.49</v>
      </c>
      <c r="I81" s="261">
        <f t="shared" si="2"/>
        <v>184064.84</v>
      </c>
      <c r="J81" s="261">
        <v>0</v>
      </c>
      <c r="K81" s="261">
        <f t="shared" si="3"/>
        <v>184064.84</v>
      </c>
    </row>
    <row r="82" spans="1:11" s="240" customFormat="1" ht="12.75" x14ac:dyDescent="0.2">
      <c r="A82" s="259" t="s">
        <v>220</v>
      </c>
      <c r="B82" s="260">
        <v>35002</v>
      </c>
      <c r="C82" s="261">
        <v>153114.74</v>
      </c>
      <c r="D82" s="261">
        <v>0</v>
      </c>
      <c r="E82" s="261">
        <v>96679.17</v>
      </c>
      <c r="F82" s="261">
        <v>0</v>
      </c>
      <c r="G82" s="261">
        <v>0</v>
      </c>
      <c r="H82" s="261">
        <v>21336.44</v>
      </c>
      <c r="I82" s="261">
        <f t="shared" si="2"/>
        <v>271130.34999999998</v>
      </c>
      <c r="J82" s="261">
        <v>0</v>
      </c>
      <c r="K82" s="261">
        <f t="shared" si="3"/>
        <v>271130.34999999998</v>
      </c>
    </row>
    <row r="83" spans="1:11" s="240" customFormat="1" ht="12.75" x14ac:dyDescent="0.2">
      <c r="A83" s="259" t="s">
        <v>221</v>
      </c>
      <c r="B83" s="260">
        <v>7002</v>
      </c>
      <c r="C83" s="261">
        <v>98120.320000000007</v>
      </c>
      <c r="D83" s="261">
        <v>0</v>
      </c>
      <c r="E83" s="261">
        <v>24109.32</v>
      </c>
      <c r="F83" s="261">
        <v>0</v>
      </c>
      <c r="G83" s="261">
        <v>94428.14</v>
      </c>
      <c r="H83" s="261">
        <v>34018.339999999997</v>
      </c>
      <c r="I83" s="261">
        <f t="shared" si="2"/>
        <v>250676.12000000002</v>
      </c>
      <c r="J83" s="261">
        <v>26407.952000000005</v>
      </c>
      <c r="K83" s="261">
        <f t="shared" si="3"/>
        <v>224268.16800000001</v>
      </c>
    </row>
    <row r="84" spans="1:11" s="240" customFormat="1" ht="12.75" x14ac:dyDescent="0.2">
      <c r="A84" s="259" t="s">
        <v>222</v>
      </c>
      <c r="B84" s="260">
        <v>38003</v>
      </c>
      <c r="C84" s="261">
        <v>35524.82</v>
      </c>
      <c r="D84" s="261">
        <v>0</v>
      </c>
      <c r="E84" s="261">
        <v>7717.07</v>
      </c>
      <c r="F84" s="261">
        <v>14689.74</v>
      </c>
      <c r="G84" s="261">
        <v>0</v>
      </c>
      <c r="H84" s="261">
        <v>35011.660000000003</v>
      </c>
      <c r="I84" s="261">
        <f t="shared" si="2"/>
        <v>92943.290000000008</v>
      </c>
      <c r="J84" s="261">
        <v>0</v>
      </c>
      <c r="K84" s="261">
        <f t="shared" si="3"/>
        <v>92943.290000000008</v>
      </c>
    </row>
    <row r="85" spans="1:11" s="240" customFormat="1" ht="12.75" x14ac:dyDescent="0.2">
      <c r="A85" s="259" t="s">
        <v>223</v>
      </c>
      <c r="B85" s="260">
        <v>45005</v>
      </c>
      <c r="C85" s="261">
        <v>75113.929999999993</v>
      </c>
      <c r="D85" s="261">
        <v>0</v>
      </c>
      <c r="E85" s="261">
        <v>11153.9</v>
      </c>
      <c r="F85" s="261">
        <v>0</v>
      </c>
      <c r="G85" s="261">
        <v>0</v>
      </c>
      <c r="H85" s="261">
        <v>39371.32</v>
      </c>
      <c r="I85" s="261">
        <f t="shared" si="2"/>
        <v>125639.15</v>
      </c>
      <c r="J85" s="261">
        <v>0</v>
      </c>
      <c r="K85" s="261">
        <f t="shared" si="3"/>
        <v>125639.15</v>
      </c>
    </row>
    <row r="86" spans="1:11" s="240" customFormat="1" ht="12.75" x14ac:dyDescent="0.2">
      <c r="A86" s="259" t="s">
        <v>224</v>
      </c>
      <c r="B86" s="260">
        <v>40001</v>
      </c>
      <c r="C86" s="261">
        <v>64169.440000000002</v>
      </c>
      <c r="D86" s="261">
        <v>0</v>
      </c>
      <c r="E86" s="261">
        <v>115841.01</v>
      </c>
      <c r="F86" s="261">
        <v>0</v>
      </c>
      <c r="G86" s="261">
        <v>0</v>
      </c>
      <c r="H86" s="261">
        <v>112465.53</v>
      </c>
      <c r="I86" s="261">
        <f t="shared" si="2"/>
        <v>292475.98</v>
      </c>
      <c r="J86" s="261">
        <v>0</v>
      </c>
      <c r="K86" s="261">
        <f t="shared" si="3"/>
        <v>292475.98</v>
      </c>
    </row>
    <row r="87" spans="1:11" s="240" customFormat="1" ht="12.75" x14ac:dyDescent="0.2">
      <c r="A87" s="259" t="s">
        <v>225</v>
      </c>
      <c r="B87" s="260">
        <v>52004</v>
      </c>
      <c r="C87" s="261">
        <v>147218.59</v>
      </c>
      <c r="D87" s="261">
        <v>0</v>
      </c>
      <c r="E87" s="261">
        <v>17378.89</v>
      </c>
      <c r="F87" s="261">
        <v>2823.98</v>
      </c>
      <c r="G87" s="261">
        <v>0</v>
      </c>
      <c r="H87" s="261">
        <v>40075.08</v>
      </c>
      <c r="I87" s="261">
        <f t="shared" si="2"/>
        <v>207496.53999999998</v>
      </c>
      <c r="J87" s="261">
        <v>0</v>
      </c>
      <c r="K87" s="261">
        <f t="shared" si="3"/>
        <v>207496.53999999998</v>
      </c>
    </row>
    <row r="88" spans="1:11" s="240" customFormat="1" ht="12.75" x14ac:dyDescent="0.2">
      <c r="A88" s="259" t="s">
        <v>226</v>
      </c>
      <c r="B88" s="260">
        <v>41004</v>
      </c>
      <c r="C88" s="261">
        <v>331820.75</v>
      </c>
      <c r="D88" s="261">
        <v>0</v>
      </c>
      <c r="E88" s="261">
        <v>40911.85</v>
      </c>
      <c r="F88" s="261">
        <v>0</v>
      </c>
      <c r="G88" s="261">
        <v>0</v>
      </c>
      <c r="H88" s="261">
        <v>98150.3</v>
      </c>
      <c r="I88" s="261">
        <f t="shared" si="2"/>
        <v>470882.89999999997</v>
      </c>
      <c r="J88" s="261">
        <v>0</v>
      </c>
      <c r="K88" s="261">
        <f t="shared" si="3"/>
        <v>470882.89999999997</v>
      </c>
    </row>
    <row r="89" spans="1:11" s="240" customFormat="1" ht="12.75" x14ac:dyDescent="0.2">
      <c r="A89" s="259" t="s">
        <v>227</v>
      </c>
      <c r="B89" s="260">
        <v>44002</v>
      </c>
      <c r="C89" s="261">
        <v>65568.95</v>
      </c>
      <c r="D89" s="261">
        <v>0</v>
      </c>
      <c r="E89" s="261">
        <v>6963.83</v>
      </c>
      <c r="F89" s="261">
        <v>0</v>
      </c>
      <c r="G89" s="261">
        <v>141932.04999999999</v>
      </c>
      <c r="H89" s="261">
        <v>16270.11</v>
      </c>
      <c r="I89" s="261">
        <f t="shared" si="2"/>
        <v>230734.94</v>
      </c>
      <c r="J89" s="261">
        <v>0</v>
      </c>
      <c r="K89" s="261">
        <f t="shared" si="3"/>
        <v>230734.94</v>
      </c>
    </row>
    <row r="90" spans="1:11" s="240" customFormat="1" ht="12.75" x14ac:dyDescent="0.2">
      <c r="A90" s="259" t="s">
        <v>228</v>
      </c>
      <c r="B90" s="260">
        <v>42001</v>
      </c>
      <c r="C90" s="261">
        <v>240987.65</v>
      </c>
      <c r="D90" s="261">
        <v>0</v>
      </c>
      <c r="E90" s="261">
        <v>55377.38</v>
      </c>
      <c r="F90" s="261">
        <v>0</v>
      </c>
      <c r="G90" s="261">
        <v>0</v>
      </c>
      <c r="H90" s="261">
        <v>11396.42</v>
      </c>
      <c r="I90" s="261">
        <f t="shared" si="2"/>
        <v>307761.44999999995</v>
      </c>
      <c r="J90" s="261">
        <v>0</v>
      </c>
      <c r="K90" s="261">
        <f t="shared" si="3"/>
        <v>307761.44999999995</v>
      </c>
    </row>
    <row r="91" spans="1:11" s="240" customFormat="1" ht="12.75" x14ac:dyDescent="0.2">
      <c r="A91" s="259" t="s">
        <v>229</v>
      </c>
      <c r="B91" s="260">
        <v>39002</v>
      </c>
      <c r="C91" s="261">
        <v>163368.23000000001</v>
      </c>
      <c r="D91" s="261">
        <v>0</v>
      </c>
      <c r="E91" s="261">
        <v>62171.8</v>
      </c>
      <c r="F91" s="261">
        <v>9374.1200000000008</v>
      </c>
      <c r="G91" s="261">
        <v>0</v>
      </c>
      <c r="H91" s="261">
        <v>103402.28</v>
      </c>
      <c r="I91" s="261">
        <f t="shared" si="2"/>
        <v>338316.43000000005</v>
      </c>
      <c r="J91" s="261">
        <v>0</v>
      </c>
      <c r="K91" s="261">
        <f t="shared" si="3"/>
        <v>338316.43000000005</v>
      </c>
    </row>
    <row r="92" spans="1:11" s="240" customFormat="1" ht="12.75" x14ac:dyDescent="0.2">
      <c r="A92" s="259" t="s">
        <v>230</v>
      </c>
      <c r="B92" s="260">
        <v>60003</v>
      </c>
      <c r="C92" s="261">
        <v>304160.15999999997</v>
      </c>
      <c r="D92" s="261">
        <v>0</v>
      </c>
      <c r="E92" s="261">
        <v>12759.75</v>
      </c>
      <c r="F92" s="261">
        <v>2575.4899999999998</v>
      </c>
      <c r="G92" s="261">
        <v>0</v>
      </c>
      <c r="H92" s="261">
        <v>17802.59</v>
      </c>
      <c r="I92" s="261">
        <f t="shared" si="2"/>
        <v>337297.99</v>
      </c>
      <c r="J92" s="261">
        <v>0</v>
      </c>
      <c r="K92" s="261">
        <f t="shared" si="3"/>
        <v>337297.99</v>
      </c>
    </row>
    <row r="93" spans="1:11" s="240" customFormat="1" ht="12.75" x14ac:dyDescent="0.2">
      <c r="A93" s="259" t="s">
        <v>231</v>
      </c>
      <c r="B93" s="260">
        <v>43007</v>
      </c>
      <c r="C93" s="261">
        <v>153588.25</v>
      </c>
      <c r="D93" s="261">
        <v>0</v>
      </c>
      <c r="E93" s="261">
        <v>46559.23</v>
      </c>
      <c r="F93" s="261">
        <v>0</v>
      </c>
      <c r="G93" s="261">
        <v>0</v>
      </c>
      <c r="H93" s="261">
        <v>22512.01</v>
      </c>
      <c r="I93" s="261">
        <f t="shared" si="2"/>
        <v>222659.49000000002</v>
      </c>
      <c r="J93" s="261">
        <v>0</v>
      </c>
      <c r="K93" s="261">
        <f t="shared" si="3"/>
        <v>222659.49000000002</v>
      </c>
    </row>
    <row r="94" spans="1:11" s="240" customFormat="1" ht="12.75" x14ac:dyDescent="0.2">
      <c r="A94" s="259" t="s">
        <v>232</v>
      </c>
      <c r="B94" s="260">
        <v>15001</v>
      </c>
      <c r="C94" s="261">
        <v>20108.37</v>
      </c>
      <c r="D94" s="261">
        <v>0</v>
      </c>
      <c r="E94" s="261">
        <v>4443.72</v>
      </c>
      <c r="F94" s="261">
        <v>0</v>
      </c>
      <c r="G94" s="261">
        <v>0</v>
      </c>
      <c r="H94" s="261">
        <v>31381.279999999999</v>
      </c>
      <c r="I94" s="261">
        <f t="shared" si="2"/>
        <v>55933.369999999995</v>
      </c>
      <c r="J94" s="261">
        <v>0</v>
      </c>
      <c r="K94" s="261">
        <f t="shared" si="3"/>
        <v>55933.369999999995</v>
      </c>
    </row>
    <row r="95" spans="1:11" s="240" customFormat="1" ht="12.75" x14ac:dyDescent="0.2">
      <c r="A95" s="259" t="s">
        <v>233</v>
      </c>
      <c r="B95" s="260">
        <v>15002</v>
      </c>
      <c r="C95" s="261">
        <v>66430.09</v>
      </c>
      <c r="D95" s="261">
        <v>0</v>
      </c>
      <c r="E95" s="261">
        <v>23007.78</v>
      </c>
      <c r="F95" s="261">
        <v>0</v>
      </c>
      <c r="G95" s="261">
        <v>0</v>
      </c>
      <c r="H95" s="261">
        <v>39237.019999999997</v>
      </c>
      <c r="I95" s="261">
        <f t="shared" si="2"/>
        <v>128674.88999999998</v>
      </c>
      <c r="J95" s="261">
        <v>0</v>
      </c>
      <c r="K95" s="261">
        <f t="shared" si="3"/>
        <v>128674.88999999998</v>
      </c>
    </row>
    <row r="96" spans="1:11" s="240" customFormat="1" ht="12.75" x14ac:dyDescent="0.2">
      <c r="A96" s="259" t="s">
        <v>234</v>
      </c>
      <c r="B96" s="260">
        <v>46001</v>
      </c>
      <c r="C96" s="261">
        <v>220668.17</v>
      </c>
      <c r="D96" s="261">
        <v>11609.22</v>
      </c>
      <c r="E96" s="261">
        <v>363785.77</v>
      </c>
      <c r="F96" s="261">
        <v>0</v>
      </c>
      <c r="G96" s="261">
        <v>0</v>
      </c>
      <c r="H96" s="261">
        <v>123280.14</v>
      </c>
      <c r="I96" s="261">
        <f t="shared" si="2"/>
        <v>719343.3</v>
      </c>
      <c r="J96" s="261">
        <v>0</v>
      </c>
      <c r="K96" s="261">
        <f t="shared" si="3"/>
        <v>719343.3</v>
      </c>
    </row>
    <row r="97" spans="1:11" s="240" customFormat="1" ht="12.75" x14ac:dyDescent="0.2">
      <c r="A97" s="259" t="s">
        <v>235</v>
      </c>
      <c r="B97" s="260">
        <v>33002</v>
      </c>
      <c r="C97" s="261">
        <v>360919.52</v>
      </c>
      <c r="D97" s="261">
        <v>0</v>
      </c>
      <c r="E97" s="261">
        <v>13468.7</v>
      </c>
      <c r="F97" s="261">
        <v>0</v>
      </c>
      <c r="G97" s="261">
        <v>0</v>
      </c>
      <c r="H97" s="261">
        <v>35631.32</v>
      </c>
      <c r="I97" s="261">
        <f t="shared" si="2"/>
        <v>410019.54000000004</v>
      </c>
      <c r="J97" s="261">
        <v>0</v>
      </c>
      <c r="K97" s="261">
        <f t="shared" si="3"/>
        <v>410019.54000000004</v>
      </c>
    </row>
    <row r="98" spans="1:11" s="240" customFormat="1" ht="12.75" x14ac:dyDescent="0.2">
      <c r="A98" s="259" t="s">
        <v>236</v>
      </c>
      <c r="B98" s="260">
        <v>25004</v>
      </c>
      <c r="C98" s="261">
        <v>228481.28</v>
      </c>
      <c r="D98" s="261">
        <v>0</v>
      </c>
      <c r="E98" s="261">
        <v>66662.899999999994</v>
      </c>
      <c r="F98" s="261">
        <v>0</v>
      </c>
      <c r="G98" s="261">
        <v>41728.370000000003</v>
      </c>
      <c r="H98" s="261">
        <v>96402.8</v>
      </c>
      <c r="I98" s="261">
        <f t="shared" si="2"/>
        <v>433275.35</v>
      </c>
      <c r="J98" s="261">
        <v>41728.370000000003</v>
      </c>
      <c r="K98" s="261">
        <f t="shared" si="3"/>
        <v>391546.98</v>
      </c>
    </row>
    <row r="99" spans="1:11" s="240" customFormat="1" ht="12.75" x14ac:dyDescent="0.2">
      <c r="A99" s="259" t="s">
        <v>237</v>
      </c>
      <c r="B99" s="260">
        <v>29004</v>
      </c>
      <c r="C99" s="261">
        <v>163290.1</v>
      </c>
      <c r="D99" s="261">
        <v>5272.92</v>
      </c>
      <c r="E99" s="261">
        <v>55308.46</v>
      </c>
      <c r="F99" s="261">
        <v>0</v>
      </c>
      <c r="G99" s="261">
        <v>117996.7</v>
      </c>
      <c r="H99" s="261">
        <v>73572.639999999999</v>
      </c>
      <c r="I99" s="261">
        <f t="shared" si="2"/>
        <v>415440.82</v>
      </c>
      <c r="J99" s="261">
        <v>75299.929999999993</v>
      </c>
      <c r="K99" s="261">
        <f t="shared" si="3"/>
        <v>340140.89</v>
      </c>
    </row>
    <row r="100" spans="1:11" s="240" customFormat="1" ht="12.75" x14ac:dyDescent="0.2">
      <c r="A100" s="259" t="s">
        <v>238</v>
      </c>
      <c r="B100" s="260">
        <v>17002</v>
      </c>
      <c r="C100" s="261">
        <v>360862.56</v>
      </c>
      <c r="D100" s="261">
        <v>0</v>
      </c>
      <c r="E100" s="261">
        <v>254620.92</v>
      </c>
      <c r="F100" s="261">
        <v>0</v>
      </c>
      <c r="G100" s="261">
        <v>0</v>
      </c>
      <c r="H100" s="261">
        <v>149400.18</v>
      </c>
      <c r="I100" s="261">
        <f t="shared" si="2"/>
        <v>764883.65999999992</v>
      </c>
      <c r="J100" s="261">
        <v>0</v>
      </c>
      <c r="K100" s="261">
        <f t="shared" si="3"/>
        <v>764883.65999999992</v>
      </c>
    </row>
    <row r="101" spans="1:11" s="240" customFormat="1" ht="12.75" x14ac:dyDescent="0.2">
      <c r="A101" s="259" t="s">
        <v>239</v>
      </c>
      <c r="B101" s="260">
        <v>62006</v>
      </c>
      <c r="C101" s="261">
        <v>110870.37</v>
      </c>
      <c r="D101" s="261">
        <v>0</v>
      </c>
      <c r="E101" s="261">
        <v>74818.75</v>
      </c>
      <c r="F101" s="261">
        <v>0</v>
      </c>
      <c r="G101" s="261">
        <v>155879.88</v>
      </c>
      <c r="H101" s="261">
        <v>48381.72</v>
      </c>
      <c r="I101" s="261">
        <f t="shared" ref="I101:I152" si="4">SUM(C101:H101)</f>
        <v>389950.71999999997</v>
      </c>
      <c r="J101" s="261">
        <v>0</v>
      </c>
      <c r="K101" s="261">
        <f t="shared" si="3"/>
        <v>389950.71999999997</v>
      </c>
    </row>
    <row r="102" spans="1:11" s="240" customFormat="1" ht="12.75" x14ac:dyDescent="0.2">
      <c r="A102" s="259" t="s">
        <v>240</v>
      </c>
      <c r="B102" s="260">
        <v>43002</v>
      </c>
      <c r="C102" s="261">
        <v>66525.100000000006</v>
      </c>
      <c r="D102" s="261">
        <v>0</v>
      </c>
      <c r="E102" s="261">
        <v>26558.09</v>
      </c>
      <c r="F102" s="261">
        <v>0</v>
      </c>
      <c r="G102" s="261">
        <v>0</v>
      </c>
      <c r="H102" s="261">
        <v>17017.439999999999</v>
      </c>
      <c r="I102" s="261">
        <f t="shared" si="4"/>
        <v>110100.63</v>
      </c>
      <c r="J102" s="261">
        <v>0</v>
      </c>
      <c r="K102" s="261">
        <f t="shared" si="3"/>
        <v>110100.63</v>
      </c>
    </row>
    <row r="103" spans="1:11" s="240" customFormat="1" ht="12.75" x14ac:dyDescent="0.2">
      <c r="A103" s="259" t="s">
        <v>241</v>
      </c>
      <c r="B103" s="260">
        <v>17003</v>
      </c>
      <c r="C103" s="261">
        <v>41498.28</v>
      </c>
      <c r="D103" s="261">
        <v>0</v>
      </c>
      <c r="E103" s="261">
        <v>15049.89</v>
      </c>
      <c r="F103" s="261">
        <v>0</v>
      </c>
      <c r="G103" s="261">
        <v>0</v>
      </c>
      <c r="H103" s="261">
        <v>16859.009999999998</v>
      </c>
      <c r="I103" s="261">
        <f t="shared" si="4"/>
        <v>73407.179999999993</v>
      </c>
      <c r="J103" s="261">
        <v>0</v>
      </c>
      <c r="K103" s="261">
        <f t="shared" si="3"/>
        <v>73407.179999999993</v>
      </c>
    </row>
    <row r="104" spans="1:11" s="240" customFormat="1" ht="12.75" x14ac:dyDescent="0.2">
      <c r="A104" s="259" t="s">
        <v>242</v>
      </c>
      <c r="B104" s="260">
        <v>51003</v>
      </c>
      <c r="C104" s="261">
        <v>51308.36</v>
      </c>
      <c r="D104" s="261">
        <v>0</v>
      </c>
      <c r="E104" s="261">
        <v>7125.65</v>
      </c>
      <c r="F104" s="261">
        <v>1311.84</v>
      </c>
      <c r="G104" s="261">
        <v>0</v>
      </c>
      <c r="H104" s="261">
        <v>15976.96</v>
      </c>
      <c r="I104" s="261">
        <f t="shared" si="4"/>
        <v>75722.81</v>
      </c>
      <c r="J104" s="261">
        <v>0</v>
      </c>
      <c r="K104" s="261">
        <f t="shared" si="3"/>
        <v>75722.81</v>
      </c>
    </row>
    <row r="105" spans="1:11" s="240" customFormat="1" ht="12.75" x14ac:dyDescent="0.2">
      <c r="A105" s="259" t="s">
        <v>243</v>
      </c>
      <c r="B105" s="260">
        <v>9002</v>
      </c>
      <c r="C105" s="261">
        <v>103321.53</v>
      </c>
      <c r="D105" s="261">
        <v>0</v>
      </c>
      <c r="E105" s="261">
        <v>33561.79</v>
      </c>
      <c r="F105" s="261">
        <v>0</v>
      </c>
      <c r="G105" s="261">
        <v>171572.06</v>
      </c>
      <c r="H105" s="261">
        <v>42765.59</v>
      </c>
      <c r="I105" s="261">
        <f t="shared" si="4"/>
        <v>351220.97</v>
      </c>
      <c r="J105" s="261">
        <v>171572.06</v>
      </c>
      <c r="K105" s="261">
        <f t="shared" si="3"/>
        <v>179648.90999999997</v>
      </c>
    </row>
    <row r="106" spans="1:11" s="240" customFormat="1" ht="12.75" x14ac:dyDescent="0.2">
      <c r="A106" s="259" t="s">
        <v>244</v>
      </c>
      <c r="B106" s="260">
        <v>56007</v>
      </c>
      <c r="C106" s="261">
        <v>102231.6</v>
      </c>
      <c r="D106" s="261">
        <v>0</v>
      </c>
      <c r="E106" s="261">
        <v>7527.41</v>
      </c>
      <c r="F106" s="261">
        <v>2182.36</v>
      </c>
      <c r="G106" s="261">
        <v>0</v>
      </c>
      <c r="H106" s="261">
        <v>38140.5</v>
      </c>
      <c r="I106" s="261">
        <f t="shared" si="4"/>
        <v>150081.87</v>
      </c>
      <c r="J106" s="261">
        <v>0</v>
      </c>
      <c r="K106" s="261">
        <f t="shared" si="3"/>
        <v>150081.87</v>
      </c>
    </row>
    <row r="107" spans="1:11" s="240" customFormat="1" ht="12.75" x14ac:dyDescent="0.2">
      <c r="A107" s="259" t="s">
        <v>245</v>
      </c>
      <c r="B107" s="260">
        <v>23003</v>
      </c>
      <c r="C107" s="261">
        <v>17921.349999999999</v>
      </c>
      <c r="D107" s="261">
        <v>0</v>
      </c>
      <c r="E107" s="261">
        <v>4254.79</v>
      </c>
      <c r="F107" s="261">
        <v>0</v>
      </c>
      <c r="G107" s="261">
        <v>47869.51</v>
      </c>
      <c r="H107" s="261">
        <v>1385.5</v>
      </c>
      <c r="I107" s="261">
        <f t="shared" si="4"/>
        <v>71431.149999999994</v>
      </c>
      <c r="J107" s="261">
        <v>0</v>
      </c>
      <c r="K107" s="261">
        <f t="shared" si="3"/>
        <v>71431.149999999994</v>
      </c>
    </row>
    <row r="108" spans="1:11" s="240" customFormat="1" ht="12.75" x14ac:dyDescent="0.2">
      <c r="A108" s="259" t="s">
        <v>295</v>
      </c>
      <c r="B108" s="260">
        <v>65001</v>
      </c>
      <c r="C108" s="261">
        <v>386463.53</v>
      </c>
      <c r="D108" s="261">
        <v>0</v>
      </c>
      <c r="E108" s="261">
        <v>400</v>
      </c>
      <c r="F108" s="261">
        <v>0</v>
      </c>
      <c r="G108" s="261">
        <v>0</v>
      </c>
      <c r="H108" s="261">
        <v>0</v>
      </c>
      <c r="I108" s="261">
        <f t="shared" si="4"/>
        <v>386863.53</v>
      </c>
      <c r="J108" s="261">
        <v>0</v>
      </c>
      <c r="K108" s="261">
        <f t="shared" si="3"/>
        <v>386863.53</v>
      </c>
    </row>
    <row r="109" spans="1:11" s="240" customFormat="1" ht="12.75" x14ac:dyDescent="0.2">
      <c r="A109" s="259" t="s">
        <v>422</v>
      </c>
      <c r="B109" s="260">
        <v>39006</v>
      </c>
      <c r="C109" s="261">
        <v>71667.899999999994</v>
      </c>
      <c r="D109" s="261">
        <v>0</v>
      </c>
      <c r="E109" s="261">
        <v>3495.87</v>
      </c>
      <c r="F109" s="261">
        <v>0</v>
      </c>
      <c r="G109" s="261">
        <v>0</v>
      </c>
      <c r="H109" s="261">
        <v>12819.03</v>
      </c>
      <c r="I109" s="261">
        <f t="shared" si="4"/>
        <v>87982.799999999988</v>
      </c>
      <c r="J109" s="261">
        <v>0</v>
      </c>
      <c r="K109" s="261">
        <f t="shared" si="3"/>
        <v>87982.799999999988</v>
      </c>
    </row>
    <row r="110" spans="1:11" s="240" customFormat="1" ht="12.75" x14ac:dyDescent="0.2">
      <c r="A110" s="259" t="s">
        <v>248</v>
      </c>
      <c r="B110" s="260">
        <v>60004</v>
      </c>
      <c r="C110" s="261">
        <v>96996.3</v>
      </c>
      <c r="D110" s="261">
        <v>0</v>
      </c>
      <c r="E110" s="261">
        <v>22897.85</v>
      </c>
      <c r="F110" s="261">
        <v>1076.72</v>
      </c>
      <c r="G110" s="261">
        <v>0</v>
      </c>
      <c r="H110" s="261">
        <v>32640.76</v>
      </c>
      <c r="I110" s="261">
        <f t="shared" si="4"/>
        <v>153611.63</v>
      </c>
      <c r="J110" s="261">
        <v>0</v>
      </c>
      <c r="K110" s="261">
        <f t="shared" si="3"/>
        <v>153611.63</v>
      </c>
    </row>
    <row r="111" spans="1:11" s="240" customFormat="1" ht="12.75" x14ac:dyDescent="0.2">
      <c r="A111" s="259" t="s">
        <v>249</v>
      </c>
      <c r="B111" s="260">
        <v>33003</v>
      </c>
      <c r="C111" s="261">
        <v>98006</v>
      </c>
      <c r="D111" s="261">
        <v>0</v>
      </c>
      <c r="E111" s="261">
        <v>21152.78</v>
      </c>
      <c r="F111" s="261">
        <v>3746.96</v>
      </c>
      <c r="G111" s="261">
        <v>0</v>
      </c>
      <c r="H111" s="261">
        <v>38633.35</v>
      </c>
      <c r="I111" s="261">
        <f t="shared" si="4"/>
        <v>161539.09</v>
      </c>
      <c r="J111" s="261">
        <v>0</v>
      </c>
      <c r="K111" s="261">
        <f t="shared" si="3"/>
        <v>161539.09</v>
      </c>
    </row>
    <row r="112" spans="1:11" s="240" customFormat="1" ht="12.75" x14ac:dyDescent="0.2">
      <c r="A112" s="259" t="s">
        <v>250</v>
      </c>
      <c r="B112" s="260">
        <v>32002</v>
      </c>
      <c r="C112" s="261">
        <v>313418.57</v>
      </c>
      <c r="D112" s="261">
        <v>0</v>
      </c>
      <c r="E112" s="261">
        <v>134379.69</v>
      </c>
      <c r="F112" s="261">
        <v>0</v>
      </c>
      <c r="G112" s="261">
        <v>0</v>
      </c>
      <c r="H112" s="261">
        <v>1056079.4099999999</v>
      </c>
      <c r="I112" s="261">
        <f t="shared" si="4"/>
        <v>1503877.67</v>
      </c>
      <c r="J112" s="261">
        <v>0</v>
      </c>
      <c r="K112" s="261">
        <f t="shared" si="3"/>
        <v>1503877.67</v>
      </c>
    </row>
    <row r="113" spans="1:11" s="240" customFormat="1" ht="12.75" x14ac:dyDescent="0.2">
      <c r="A113" s="259" t="s">
        <v>251</v>
      </c>
      <c r="B113" s="260">
        <v>1001</v>
      </c>
      <c r="C113" s="261">
        <v>83381.06</v>
      </c>
      <c r="D113" s="261">
        <v>0</v>
      </c>
      <c r="E113" s="261">
        <v>25621.51</v>
      </c>
      <c r="F113" s="261">
        <v>0</v>
      </c>
      <c r="G113" s="261">
        <v>0</v>
      </c>
      <c r="H113" s="261">
        <v>28702.06</v>
      </c>
      <c r="I113" s="261">
        <f t="shared" si="4"/>
        <v>137704.63</v>
      </c>
      <c r="J113" s="261">
        <v>0</v>
      </c>
      <c r="K113" s="261">
        <f t="shared" si="3"/>
        <v>137704.63</v>
      </c>
    </row>
    <row r="114" spans="1:11" s="240" customFormat="1" ht="12.75" x14ac:dyDescent="0.2">
      <c r="A114" s="259" t="s">
        <v>252</v>
      </c>
      <c r="B114" s="260">
        <v>11005</v>
      </c>
      <c r="C114" s="261">
        <v>208246.3</v>
      </c>
      <c r="D114" s="261">
        <v>0</v>
      </c>
      <c r="E114" s="261">
        <v>24400.13</v>
      </c>
      <c r="F114" s="261">
        <v>0</v>
      </c>
      <c r="G114" s="261">
        <v>0</v>
      </c>
      <c r="H114" s="261">
        <v>69423.210000000006</v>
      </c>
      <c r="I114" s="261">
        <f t="shared" si="4"/>
        <v>302069.64</v>
      </c>
      <c r="J114" s="261">
        <v>0</v>
      </c>
      <c r="K114" s="261">
        <f t="shared" si="3"/>
        <v>302069.64</v>
      </c>
    </row>
    <row r="115" spans="1:11" s="240" customFormat="1" ht="12.75" x14ac:dyDescent="0.2">
      <c r="A115" s="259" t="s">
        <v>253</v>
      </c>
      <c r="B115" s="260">
        <v>51004</v>
      </c>
      <c r="C115" s="261">
        <v>901273.23</v>
      </c>
      <c r="D115" s="261">
        <v>0</v>
      </c>
      <c r="E115" s="261">
        <v>559340.78</v>
      </c>
      <c r="F115" s="261">
        <v>121628.63</v>
      </c>
      <c r="G115" s="261">
        <v>0</v>
      </c>
      <c r="H115" s="261">
        <v>1290916.3799999999</v>
      </c>
      <c r="I115" s="261">
        <f t="shared" si="4"/>
        <v>2873159.02</v>
      </c>
      <c r="J115" s="261">
        <v>0</v>
      </c>
      <c r="K115" s="261">
        <f t="shared" si="3"/>
        <v>2873159.02</v>
      </c>
    </row>
    <row r="116" spans="1:11" s="240" customFormat="1" ht="12.75" x14ac:dyDescent="0.2">
      <c r="A116" s="259" t="s">
        <v>254</v>
      </c>
      <c r="B116" s="260">
        <v>56004</v>
      </c>
      <c r="C116" s="261">
        <v>68482.55</v>
      </c>
      <c r="D116" s="261">
        <v>0</v>
      </c>
      <c r="E116" s="261">
        <v>37696.26</v>
      </c>
      <c r="F116" s="261">
        <v>0</v>
      </c>
      <c r="G116" s="261">
        <v>0</v>
      </c>
      <c r="H116" s="261">
        <v>41341.39</v>
      </c>
      <c r="I116" s="261">
        <f t="shared" si="4"/>
        <v>147520.20000000001</v>
      </c>
      <c r="J116" s="261">
        <v>0</v>
      </c>
      <c r="K116" s="261">
        <f t="shared" si="3"/>
        <v>147520.20000000001</v>
      </c>
    </row>
    <row r="117" spans="1:11" s="240" customFormat="1" ht="12.75" x14ac:dyDescent="0.2">
      <c r="A117" s="259" t="s">
        <v>255</v>
      </c>
      <c r="B117" s="260">
        <v>54004</v>
      </c>
      <c r="C117" s="261">
        <v>51635.58</v>
      </c>
      <c r="D117" s="261">
        <v>0</v>
      </c>
      <c r="E117" s="261">
        <v>26796.98</v>
      </c>
      <c r="F117" s="261">
        <v>0</v>
      </c>
      <c r="G117" s="261">
        <v>0</v>
      </c>
      <c r="H117" s="261">
        <v>36168.449999999997</v>
      </c>
      <c r="I117" s="261">
        <f t="shared" si="4"/>
        <v>114601.01</v>
      </c>
      <c r="J117" s="261">
        <v>0</v>
      </c>
      <c r="K117" s="261">
        <f t="shared" si="3"/>
        <v>114601.01</v>
      </c>
    </row>
    <row r="118" spans="1:11" s="240" customFormat="1" ht="12.75" x14ac:dyDescent="0.2">
      <c r="A118" s="259" t="s">
        <v>257</v>
      </c>
      <c r="B118" s="260">
        <v>55005</v>
      </c>
      <c r="C118" s="261">
        <v>48577.89</v>
      </c>
      <c r="D118" s="261">
        <v>0</v>
      </c>
      <c r="E118" s="261">
        <v>13485.46</v>
      </c>
      <c r="F118" s="261">
        <v>423.42</v>
      </c>
      <c r="G118" s="261">
        <v>0</v>
      </c>
      <c r="H118" s="261">
        <v>5326.75</v>
      </c>
      <c r="I118" s="261">
        <f t="shared" si="4"/>
        <v>67813.51999999999</v>
      </c>
      <c r="J118" s="261">
        <v>0</v>
      </c>
      <c r="K118" s="261">
        <f t="shared" si="3"/>
        <v>67813.51999999999</v>
      </c>
    </row>
    <row r="119" spans="1:11" s="240" customFormat="1" ht="12.75" x14ac:dyDescent="0.2">
      <c r="A119" s="259" t="s">
        <v>258</v>
      </c>
      <c r="B119" s="260">
        <v>4003</v>
      </c>
      <c r="C119" s="261">
        <v>73797.13</v>
      </c>
      <c r="D119" s="261">
        <v>0</v>
      </c>
      <c r="E119" s="261">
        <v>13376.59</v>
      </c>
      <c r="F119" s="261">
        <v>0</v>
      </c>
      <c r="G119" s="261">
        <v>0</v>
      </c>
      <c r="H119" s="261">
        <v>34772.699999999997</v>
      </c>
      <c r="I119" s="261">
        <f t="shared" si="4"/>
        <v>121946.42</v>
      </c>
      <c r="J119" s="261">
        <v>0</v>
      </c>
      <c r="K119" s="261">
        <f t="shared" si="3"/>
        <v>121946.42</v>
      </c>
    </row>
    <row r="120" spans="1:11" s="240" customFormat="1" ht="12.75" x14ac:dyDescent="0.2">
      <c r="A120" s="259" t="s">
        <v>259</v>
      </c>
      <c r="B120" s="260">
        <v>62005</v>
      </c>
      <c r="C120" s="261">
        <v>85584.35</v>
      </c>
      <c r="D120" s="261">
        <v>0</v>
      </c>
      <c r="E120" s="261">
        <v>18512.34</v>
      </c>
      <c r="F120" s="261">
        <v>0</v>
      </c>
      <c r="G120" s="261">
        <v>0</v>
      </c>
      <c r="H120" s="261">
        <v>39895.4</v>
      </c>
      <c r="I120" s="261">
        <f t="shared" si="4"/>
        <v>143992.09</v>
      </c>
      <c r="J120" s="261">
        <v>0</v>
      </c>
      <c r="K120" s="261">
        <f t="shared" si="3"/>
        <v>143992.09</v>
      </c>
    </row>
    <row r="121" spans="1:11" s="240" customFormat="1" ht="12.75" x14ac:dyDescent="0.2">
      <c r="A121" s="259" t="s">
        <v>260</v>
      </c>
      <c r="B121" s="260">
        <v>49005</v>
      </c>
      <c r="C121" s="261">
        <v>1280881.56</v>
      </c>
      <c r="D121" s="261">
        <v>0</v>
      </c>
      <c r="E121" s="261">
        <v>837306.26</v>
      </c>
      <c r="F121" s="261">
        <v>0</v>
      </c>
      <c r="G121" s="261">
        <v>0</v>
      </c>
      <c r="H121" s="261">
        <v>4731880.3499999996</v>
      </c>
      <c r="I121" s="261">
        <f t="shared" si="4"/>
        <v>6850068.1699999999</v>
      </c>
      <c r="J121" s="261">
        <v>0</v>
      </c>
      <c r="K121" s="261">
        <f t="shared" si="3"/>
        <v>6850068.1699999999</v>
      </c>
    </row>
    <row r="122" spans="1:11" s="240" customFormat="1" ht="12.75" x14ac:dyDescent="0.2">
      <c r="A122" s="259" t="s">
        <v>261</v>
      </c>
      <c r="B122" s="260">
        <v>5005</v>
      </c>
      <c r="C122" s="261">
        <v>97043.17</v>
      </c>
      <c r="D122" s="261">
        <v>0</v>
      </c>
      <c r="E122" s="261">
        <v>49140.31</v>
      </c>
      <c r="F122" s="261">
        <v>1905.84</v>
      </c>
      <c r="G122" s="261">
        <v>0</v>
      </c>
      <c r="H122" s="261">
        <v>74936.88</v>
      </c>
      <c r="I122" s="261">
        <f t="shared" si="4"/>
        <v>223026.19999999998</v>
      </c>
      <c r="J122" s="261">
        <v>0</v>
      </c>
      <c r="K122" s="261">
        <f t="shared" si="3"/>
        <v>223026.19999999998</v>
      </c>
    </row>
    <row r="123" spans="1:11" s="240" customFormat="1" ht="12.75" x14ac:dyDescent="0.2">
      <c r="A123" s="259" t="s">
        <v>262</v>
      </c>
      <c r="B123" s="260">
        <v>54002</v>
      </c>
      <c r="C123" s="261">
        <v>457796.89</v>
      </c>
      <c r="D123" s="261">
        <v>0</v>
      </c>
      <c r="E123" s="261">
        <v>331712.17</v>
      </c>
      <c r="F123" s="261">
        <v>0</v>
      </c>
      <c r="G123" s="261">
        <v>0</v>
      </c>
      <c r="H123" s="261">
        <v>122144.67</v>
      </c>
      <c r="I123" s="261">
        <f t="shared" si="4"/>
        <v>911653.7300000001</v>
      </c>
      <c r="J123" s="261">
        <v>0</v>
      </c>
      <c r="K123" s="261">
        <f t="shared" si="3"/>
        <v>911653.7300000001</v>
      </c>
    </row>
    <row r="124" spans="1:11" s="240" customFormat="1" ht="12.75" x14ac:dyDescent="0.2">
      <c r="A124" s="259" t="s">
        <v>263</v>
      </c>
      <c r="B124" s="260">
        <v>15003</v>
      </c>
      <c r="C124" s="261">
        <v>24558.58</v>
      </c>
      <c r="D124" s="261">
        <v>0</v>
      </c>
      <c r="E124" s="261">
        <v>5760.33</v>
      </c>
      <c r="F124" s="261">
        <v>0</v>
      </c>
      <c r="G124" s="261">
        <v>0</v>
      </c>
      <c r="H124" s="261">
        <v>2294.42</v>
      </c>
      <c r="I124" s="261">
        <f t="shared" si="4"/>
        <v>32613.33</v>
      </c>
      <c r="J124" s="261">
        <v>0</v>
      </c>
      <c r="K124" s="261">
        <f t="shared" si="3"/>
        <v>32613.33</v>
      </c>
    </row>
    <row r="125" spans="1:11" s="240" customFormat="1" ht="12.75" x14ac:dyDescent="0.2">
      <c r="A125" s="259" t="s">
        <v>264</v>
      </c>
      <c r="B125" s="260">
        <v>26005</v>
      </c>
      <c r="C125" s="261">
        <v>46758.42</v>
      </c>
      <c r="D125" s="261">
        <v>0</v>
      </c>
      <c r="E125" s="261">
        <v>3484.82</v>
      </c>
      <c r="F125" s="261">
        <v>0</v>
      </c>
      <c r="G125" s="261">
        <v>0</v>
      </c>
      <c r="H125" s="261">
        <v>11666.24</v>
      </c>
      <c r="I125" s="261">
        <f t="shared" si="4"/>
        <v>61909.479999999996</v>
      </c>
      <c r="J125" s="261">
        <v>0</v>
      </c>
      <c r="K125" s="261">
        <f t="shared" si="3"/>
        <v>61909.479999999996</v>
      </c>
    </row>
    <row r="126" spans="1:11" s="240" customFormat="1" ht="12.75" x14ac:dyDescent="0.2">
      <c r="A126" s="259" t="s">
        <v>265</v>
      </c>
      <c r="B126" s="260">
        <v>40002</v>
      </c>
      <c r="C126" s="261">
        <v>142683.76999999999</v>
      </c>
      <c r="D126" s="261">
        <v>0</v>
      </c>
      <c r="E126" s="261">
        <v>400958.57</v>
      </c>
      <c r="F126" s="261">
        <v>0</v>
      </c>
      <c r="G126" s="261">
        <v>0</v>
      </c>
      <c r="H126" s="261">
        <v>174063.6</v>
      </c>
      <c r="I126" s="261">
        <f t="shared" si="4"/>
        <v>717705.94</v>
      </c>
      <c r="J126" s="261">
        <v>0</v>
      </c>
      <c r="K126" s="261">
        <f t="shared" si="3"/>
        <v>717705.94</v>
      </c>
    </row>
    <row r="127" spans="1:11" s="240" customFormat="1" ht="12.75" x14ac:dyDescent="0.2">
      <c r="A127" s="259" t="s">
        <v>266</v>
      </c>
      <c r="B127" s="260">
        <v>57001</v>
      </c>
      <c r="C127" s="261">
        <v>26899.45</v>
      </c>
      <c r="D127" s="261">
        <v>0</v>
      </c>
      <c r="E127" s="261">
        <v>80032.55</v>
      </c>
      <c r="F127" s="261">
        <v>0</v>
      </c>
      <c r="G127" s="261">
        <v>0</v>
      </c>
      <c r="H127" s="261">
        <v>166796.28</v>
      </c>
      <c r="I127" s="261">
        <f t="shared" si="4"/>
        <v>273728.28000000003</v>
      </c>
      <c r="J127" s="261">
        <v>0</v>
      </c>
      <c r="K127" s="261">
        <f t="shared" si="3"/>
        <v>273728.28000000003</v>
      </c>
    </row>
    <row r="128" spans="1:11" s="240" customFormat="1" ht="12.75" x14ac:dyDescent="0.2">
      <c r="A128" s="259" t="s">
        <v>267</v>
      </c>
      <c r="B128" s="260">
        <v>54006</v>
      </c>
      <c r="C128" s="261">
        <v>80885.850000000006</v>
      </c>
      <c r="D128" s="261">
        <v>0</v>
      </c>
      <c r="E128" s="261">
        <v>19099.099999999999</v>
      </c>
      <c r="F128" s="261">
        <v>966.16</v>
      </c>
      <c r="G128" s="261">
        <v>523887.8</v>
      </c>
      <c r="H128" s="261">
        <v>19916.97</v>
      </c>
      <c r="I128" s="261">
        <f t="shared" si="4"/>
        <v>644755.88</v>
      </c>
      <c r="J128" s="261">
        <v>523887.80000000005</v>
      </c>
      <c r="K128" s="261">
        <f t="shared" si="3"/>
        <v>120868.07999999996</v>
      </c>
    </row>
    <row r="129" spans="1:11" s="240" customFormat="1" ht="12.75" x14ac:dyDescent="0.2">
      <c r="A129" s="259" t="s">
        <v>268</v>
      </c>
      <c r="B129" s="260">
        <v>41005</v>
      </c>
      <c r="C129" s="261">
        <v>148780.21</v>
      </c>
      <c r="D129" s="261">
        <v>0</v>
      </c>
      <c r="E129" s="261">
        <v>66729.320000000007</v>
      </c>
      <c r="F129" s="261">
        <v>0</v>
      </c>
      <c r="G129" s="261">
        <v>0</v>
      </c>
      <c r="H129" s="261">
        <v>220414.19</v>
      </c>
      <c r="I129" s="261">
        <f t="shared" si="4"/>
        <v>435923.72</v>
      </c>
      <c r="J129" s="261">
        <v>0</v>
      </c>
      <c r="K129" s="261">
        <f t="shared" si="3"/>
        <v>435923.72</v>
      </c>
    </row>
    <row r="130" spans="1:11" s="240" customFormat="1" ht="12.75" x14ac:dyDescent="0.2">
      <c r="A130" s="259" t="s">
        <v>269</v>
      </c>
      <c r="B130" s="260">
        <v>20003</v>
      </c>
      <c r="C130" s="261">
        <v>41879.360000000001</v>
      </c>
      <c r="D130" s="261">
        <v>0</v>
      </c>
      <c r="E130" s="261">
        <v>2990.21</v>
      </c>
      <c r="F130" s="261">
        <v>0</v>
      </c>
      <c r="G130" s="261">
        <v>0</v>
      </c>
      <c r="H130" s="261">
        <v>20103.669999999998</v>
      </c>
      <c r="I130" s="261">
        <f t="shared" si="4"/>
        <v>64973.24</v>
      </c>
      <c r="J130" s="261">
        <v>0</v>
      </c>
      <c r="K130" s="261">
        <f t="shared" si="3"/>
        <v>64973.24</v>
      </c>
    </row>
    <row r="131" spans="1:11" s="240" customFormat="1" ht="12.75" x14ac:dyDescent="0.2">
      <c r="A131" s="259" t="s">
        <v>270</v>
      </c>
      <c r="B131" s="260">
        <v>66001</v>
      </c>
      <c r="C131" s="261">
        <v>380322.04</v>
      </c>
      <c r="D131" s="261">
        <v>0</v>
      </c>
      <c r="E131" s="261">
        <v>0</v>
      </c>
      <c r="F131" s="261">
        <v>0</v>
      </c>
      <c r="G131" s="261">
        <v>0</v>
      </c>
      <c r="H131" s="261">
        <v>9.1</v>
      </c>
      <c r="I131" s="261">
        <f t="shared" si="4"/>
        <v>380331.13999999996</v>
      </c>
      <c r="J131" s="261">
        <v>0</v>
      </c>
      <c r="K131" s="261">
        <f t="shared" si="3"/>
        <v>380331.13999999996</v>
      </c>
    </row>
    <row r="132" spans="1:11" s="240" customFormat="1" ht="12.75" x14ac:dyDescent="0.2">
      <c r="A132" s="259" t="s">
        <v>271</v>
      </c>
      <c r="B132" s="260">
        <v>33005</v>
      </c>
      <c r="C132" s="261">
        <v>67938.33</v>
      </c>
      <c r="D132" s="261">
        <v>0</v>
      </c>
      <c r="E132" s="261">
        <v>8683.01</v>
      </c>
      <c r="F132" s="261">
        <v>0</v>
      </c>
      <c r="G132" s="261">
        <v>245371.68</v>
      </c>
      <c r="H132" s="261">
        <v>29273.25</v>
      </c>
      <c r="I132" s="261">
        <f t="shared" si="4"/>
        <v>351266.27</v>
      </c>
      <c r="J132" s="261">
        <v>119808.68</v>
      </c>
      <c r="K132" s="261">
        <f t="shared" si="3"/>
        <v>231457.59000000003</v>
      </c>
    </row>
    <row r="133" spans="1:11" s="240" customFormat="1" ht="12.75" x14ac:dyDescent="0.2">
      <c r="A133" s="259" t="s">
        <v>272</v>
      </c>
      <c r="B133" s="260">
        <v>49006</v>
      </c>
      <c r="C133" s="261">
        <v>305133.12</v>
      </c>
      <c r="D133" s="261">
        <v>0</v>
      </c>
      <c r="E133" s="261">
        <v>33434.949999999997</v>
      </c>
      <c r="F133" s="261">
        <v>0</v>
      </c>
      <c r="G133" s="261">
        <v>0</v>
      </c>
      <c r="H133" s="261">
        <v>319050.11</v>
      </c>
      <c r="I133" s="261">
        <f t="shared" si="4"/>
        <v>657618.17999999993</v>
      </c>
      <c r="J133" s="261">
        <v>0</v>
      </c>
      <c r="K133" s="261">
        <f t="shared" ref="K133:K152" si="5">I133-J133</f>
        <v>657618.17999999993</v>
      </c>
    </row>
    <row r="134" spans="1:11" s="240" customFormat="1" ht="12.75" x14ac:dyDescent="0.2">
      <c r="A134" s="259" t="s">
        <v>273</v>
      </c>
      <c r="B134" s="260">
        <v>13001</v>
      </c>
      <c r="C134" s="261">
        <v>181426.13</v>
      </c>
      <c r="D134" s="261">
        <v>0</v>
      </c>
      <c r="E134" s="261">
        <v>132995.31</v>
      </c>
      <c r="F134" s="261">
        <v>112.15</v>
      </c>
      <c r="G134" s="261">
        <v>0</v>
      </c>
      <c r="H134" s="261">
        <v>71766.990000000005</v>
      </c>
      <c r="I134" s="261">
        <f t="shared" si="4"/>
        <v>386300.58</v>
      </c>
      <c r="J134" s="261">
        <v>0</v>
      </c>
      <c r="K134" s="261">
        <f t="shared" si="5"/>
        <v>386300.58</v>
      </c>
    </row>
    <row r="135" spans="1:11" s="240" customFormat="1" ht="12.75" x14ac:dyDescent="0.2">
      <c r="A135" s="259" t="s">
        <v>274</v>
      </c>
      <c r="B135" s="260">
        <v>60006</v>
      </c>
      <c r="C135" s="261">
        <v>146162.78</v>
      </c>
      <c r="D135" s="261">
        <v>0</v>
      </c>
      <c r="E135" s="261">
        <v>27173.200000000001</v>
      </c>
      <c r="F135" s="261">
        <v>1200.0999999999999</v>
      </c>
      <c r="G135" s="261">
        <v>0</v>
      </c>
      <c r="H135" s="261">
        <v>25150.52</v>
      </c>
      <c r="I135" s="261">
        <f t="shared" si="4"/>
        <v>199686.6</v>
      </c>
      <c r="J135" s="261">
        <v>0</v>
      </c>
      <c r="K135" s="261">
        <f t="shared" si="5"/>
        <v>199686.6</v>
      </c>
    </row>
    <row r="136" spans="1:11" s="240" customFormat="1" ht="12.75" x14ac:dyDescent="0.2">
      <c r="A136" s="259" t="s">
        <v>275</v>
      </c>
      <c r="B136" s="260">
        <v>11004</v>
      </c>
      <c r="C136" s="261">
        <v>114766.48000000001</v>
      </c>
      <c r="D136" s="261">
        <v>0</v>
      </c>
      <c r="E136" s="261">
        <v>33455.22</v>
      </c>
      <c r="F136" s="261">
        <v>0</v>
      </c>
      <c r="G136" s="261">
        <v>81793.66</v>
      </c>
      <c r="H136" s="261">
        <v>43114.32</v>
      </c>
      <c r="I136" s="261">
        <f t="shared" si="4"/>
        <v>273129.68</v>
      </c>
      <c r="J136" s="261">
        <v>75668.63</v>
      </c>
      <c r="K136" s="261">
        <f t="shared" si="5"/>
        <v>197461.05</v>
      </c>
    </row>
    <row r="137" spans="1:11" s="240" customFormat="1" ht="12.75" x14ac:dyDescent="0.2">
      <c r="A137" s="259" t="s">
        <v>276</v>
      </c>
      <c r="B137" s="260">
        <v>51005</v>
      </c>
      <c r="C137" s="261">
        <v>110632.54</v>
      </c>
      <c r="D137" s="261">
        <v>0</v>
      </c>
      <c r="E137" s="261">
        <v>9733.2099999999991</v>
      </c>
      <c r="F137" s="261">
        <v>0</v>
      </c>
      <c r="G137" s="261">
        <v>0</v>
      </c>
      <c r="H137" s="261">
        <v>25666.67</v>
      </c>
      <c r="I137" s="261">
        <f t="shared" si="4"/>
        <v>146032.41999999998</v>
      </c>
      <c r="J137" s="261">
        <v>0</v>
      </c>
      <c r="K137" s="261">
        <f t="shared" si="5"/>
        <v>146032.41999999998</v>
      </c>
    </row>
    <row r="138" spans="1:11" s="240" customFormat="1" ht="12.75" x14ac:dyDescent="0.2">
      <c r="A138" s="259" t="s">
        <v>277</v>
      </c>
      <c r="B138" s="260">
        <v>6005</v>
      </c>
      <c r="C138" s="261">
        <v>38990.480000000003</v>
      </c>
      <c r="D138" s="261">
        <v>0</v>
      </c>
      <c r="E138" s="261">
        <v>13175.67</v>
      </c>
      <c r="F138" s="261">
        <v>45.45</v>
      </c>
      <c r="G138" s="261">
        <v>0</v>
      </c>
      <c r="H138" s="261">
        <v>25237.19</v>
      </c>
      <c r="I138" s="261">
        <f t="shared" si="4"/>
        <v>77448.789999999994</v>
      </c>
      <c r="J138" s="261">
        <v>0</v>
      </c>
      <c r="K138" s="261">
        <f t="shared" si="5"/>
        <v>77448.789999999994</v>
      </c>
    </row>
    <row r="139" spans="1:11" s="240" customFormat="1" ht="12.75" x14ac:dyDescent="0.2">
      <c r="A139" s="259" t="s">
        <v>278</v>
      </c>
      <c r="B139" s="260">
        <v>14004</v>
      </c>
      <c r="C139" s="261">
        <v>270532.09999999998</v>
      </c>
      <c r="D139" s="261">
        <v>0</v>
      </c>
      <c r="E139" s="261">
        <v>399446.44</v>
      </c>
      <c r="F139" s="261">
        <v>9807.39</v>
      </c>
      <c r="G139" s="261">
        <v>64878.05</v>
      </c>
      <c r="H139" s="261">
        <v>395897.95</v>
      </c>
      <c r="I139" s="261">
        <f t="shared" si="4"/>
        <v>1140561.9300000002</v>
      </c>
      <c r="J139" s="261">
        <v>64878.05</v>
      </c>
      <c r="K139" s="261">
        <f t="shared" si="5"/>
        <v>1075683.8800000001</v>
      </c>
    </row>
    <row r="140" spans="1:11" s="240" customFormat="1" ht="12.75" x14ac:dyDescent="0.2">
      <c r="A140" s="259" t="s">
        <v>279</v>
      </c>
      <c r="B140" s="260">
        <v>18003</v>
      </c>
      <c r="C140" s="261">
        <v>49192.18</v>
      </c>
      <c r="D140" s="261">
        <v>0</v>
      </c>
      <c r="E140" s="261">
        <v>25329.65</v>
      </c>
      <c r="F140" s="261">
        <v>0</v>
      </c>
      <c r="G140" s="261">
        <v>0</v>
      </c>
      <c r="H140" s="261">
        <v>18486.53</v>
      </c>
      <c r="I140" s="261">
        <f t="shared" si="4"/>
        <v>93008.36</v>
      </c>
      <c r="J140" s="261">
        <v>0</v>
      </c>
      <c r="K140" s="261">
        <f t="shared" si="5"/>
        <v>93008.36</v>
      </c>
    </row>
    <row r="141" spans="1:11" s="240" customFormat="1" ht="12.75" x14ac:dyDescent="0.2">
      <c r="A141" s="259" t="s">
        <v>280</v>
      </c>
      <c r="B141" s="260">
        <v>14005</v>
      </c>
      <c r="C141" s="261">
        <v>63173.42</v>
      </c>
      <c r="D141" s="261">
        <v>0</v>
      </c>
      <c r="E141" s="261">
        <v>13580.71</v>
      </c>
      <c r="F141" s="261">
        <v>0</v>
      </c>
      <c r="G141" s="261">
        <v>692377.34</v>
      </c>
      <c r="H141" s="261">
        <v>26749.89</v>
      </c>
      <c r="I141" s="261">
        <f t="shared" si="4"/>
        <v>795881.36</v>
      </c>
      <c r="J141" s="261">
        <v>692377.34000000008</v>
      </c>
      <c r="K141" s="261">
        <f t="shared" si="5"/>
        <v>103504.0199999999</v>
      </c>
    </row>
    <row r="142" spans="1:11" s="240" customFormat="1" ht="12.75" x14ac:dyDescent="0.2">
      <c r="A142" s="259" t="s">
        <v>281</v>
      </c>
      <c r="B142" s="260">
        <v>18005</v>
      </c>
      <c r="C142" s="261">
        <v>208826.1</v>
      </c>
      <c r="D142" s="261">
        <v>0</v>
      </c>
      <c r="E142" s="261">
        <v>49752.63</v>
      </c>
      <c r="F142" s="261">
        <v>2345.52</v>
      </c>
      <c r="G142" s="261">
        <v>0</v>
      </c>
      <c r="H142" s="261">
        <v>57176.15</v>
      </c>
      <c r="I142" s="261">
        <f t="shared" si="4"/>
        <v>318100.40000000002</v>
      </c>
      <c r="J142" s="261">
        <v>0</v>
      </c>
      <c r="K142" s="261">
        <f t="shared" si="5"/>
        <v>318100.40000000002</v>
      </c>
    </row>
    <row r="143" spans="1:11" s="240" customFormat="1" ht="12.75" x14ac:dyDescent="0.2">
      <c r="A143" s="259" t="s">
        <v>282</v>
      </c>
      <c r="B143" s="260">
        <v>36002</v>
      </c>
      <c r="C143" s="261">
        <v>111444.37</v>
      </c>
      <c r="D143" s="261">
        <v>0</v>
      </c>
      <c r="E143" s="261">
        <v>12900.74</v>
      </c>
      <c r="F143" s="261">
        <v>2414.92</v>
      </c>
      <c r="G143" s="261">
        <v>156674.99</v>
      </c>
      <c r="H143" s="261">
        <v>38297.949999999997</v>
      </c>
      <c r="I143" s="261">
        <f t="shared" si="4"/>
        <v>321732.97000000003</v>
      </c>
      <c r="J143" s="261">
        <v>0</v>
      </c>
      <c r="K143" s="261">
        <f t="shared" si="5"/>
        <v>321732.97000000003</v>
      </c>
    </row>
    <row r="144" spans="1:11" s="240" customFormat="1" ht="12.75" x14ac:dyDescent="0.2">
      <c r="A144" s="259" t="s">
        <v>283</v>
      </c>
      <c r="B144" s="260">
        <v>49007</v>
      </c>
      <c r="C144" s="261">
        <v>333326.57</v>
      </c>
      <c r="D144" s="261">
        <v>0</v>
      </c>
      <c r="E144" s="261">
        <v>46108.3</v>
      </c>
      <c r="F144" s="261">
        <v>0</v>
      </c>
      <c r="G144" s="261">
        <v>0</v>
      </c>
      <c r="H144" s="261">
        <v>249454.53</v>
      </c>
      <c r="I144" s="261">
        <f t="shared" si="4"/>
        <v>628889.4</v>
      </c>
      <c r="J144" s="261">
        <v>0</v>
      </c>
      <c r="K144" s="261">
        <f t="shared" si="5"/>
        <v>628889.4</v>
      </c>
    </row>
    <row r="145" spans="1:11" s="240" customFormat="1" ht="12.75" x14ac:dyDescent="0.2">
      <c r="A145" s="259" t="s">
        <v>284</v>
      </c>
      <c r="B145" s="260">
        <v>1003</v>
      </c>
      <c r="C145" s="261">
        <v>39796.699999999997</v>
      </c>
      <c r="D145" s="261">
        <v>0</v>
      </c>
      <c r="E145" s="261">
        <v>12180.92</v>
      </c>
      <c r="F145" s="261">
        <v>0</v>
      </c>
      <c r="G145" s="261">
        <v>168402.79</v>
      </c>
      <c r="H145" s="261">
        <v>25208.31</v>
      </c>
      <c r="I145" s="261">
        <f t="shared" si="4"/>
        <v>245588.72</v>
      </c>
      <c r="J145" s="261">
        <v>26626.184000000005</v>
      </c>
      <c r="K145" s="261">
        <f t="shared" si="5"/>
        <v>218962.53599999999</v>
      </c>
    </row>
    <row r="146" spans="1:11" s="240" customFormat="1" ht="12.75" x14ac:dyDescent="0.2">
      <c r="A146" s="259" t="s">
        <v>285</v>
      </c>
      <c r="B146" s="260">
        <v>47001</v>
      </c>
      <c r="C146" s="261">
        <v>69946.509999999995</v>
      </c>
      <c r="D146" s="261">
        <v>0</v>
      </c>
      <c r="E146" s="261">
        <v>6996.05</v>
      </c>
      <c r="F146" s="261">
        <v>0</v>
      </c>
      <c r="G146" s="261">
        <v>0</v>
      </c>
      <c r="H146" s="261">
        <v>2615.5</v>
      </c>
      <c r="I146" s="261">
        <f t="shared" si="4"/>
        <v>79558.06</v>
      </c>
      <c r="J146" s="261">
        <v>0</v>
      </c>
      <c r="K146" s="261">
        <f t="shared" si="5"/>
        <v>79558.06</v>
      </c>
    </row>
    <row r="147" spans="1:11" s="240" customFormat="1" ht="12.75" x14ac:dyDescent="0.2">
      <c r="A147" s="259" t="s">
        <v>286</v>
      </c>
      <c r="B147" s="260">
        <v>12003</v>
      </c>
      <c r="C147" s="261">
        <v>385799.24</v>
      </c>
      <c r="D147" s="261">
        <v>0</v>
      </c>
      <c r="E147" s="261">
        <v>13137.4</v>
      </c>
      <c r="F147" s="261">
        <v>0</v>
      </c>
      <c r="G147" s="261">
        <v>0</v>
      </c>
      <c r="H147" s="261">
        <v>21836.05</v>
      </c>
      <c r="I147" s="261">
        <f t="shared" si="4"/>
        <v>420772.69</v>
      </c>
      <c r="J147" s="261">
        <v>0</v>
      </c>
      <c r="K147" s="261">
        <f t="shared" si="5"/>
        <v>420772.69</v>
      </c>
    </row>
    <row r="148" spans="1:11" s="240" customFormat="1" ht="12.75" x14ac:dyDescent="0.2">
      <c r="A148" s="259" t="s">
        <v>287</v>
      </c>
      <c r="B148" s="260">
        <v>54007</v>
      </c>
      <c r="C148" s="261">
        <v>86632.72</v>
      </c>
      <c r="D148" s="261">
        <v>0</v>
      </c>
      <c r="E148" s="261">
        <v>42299.26</v>
      </c>
      <c r="F148" s="261">
        <v>426.55</v>
      </c>
      <c r="G148" s="261">
        <v>0</v>
      </c>
      <c r="H148" s="261">
        <v>31365.3</v>
      </c>
      <c r="I148" s="261">
        <f t="shared" si="4"/>
        <v>160723.83000000002</v>
      </c>
      <c r="J148" s="261">
        <v>0</v>
      </c>
      <c r="K148" s="261">
        <f t="shared" si="5"/>
        <v>160723.83000000002</v>
      </c>
    </row>
    <row r="149" spans="1:11" s="240" customFormat="1" ht="12.75" x14ac:dyDescent="0.2">
      <c r="A149" s="259" t="s">
        <v>288</v>
      </c>
      <c r="B149" s="260">
        <v>59002</v>
      </c>
      <c r="C149" s="261">
        <v>211094.17</v>
      </c>
      <c r="D149" s="261">
        <v>0</v>
      </c>
      <c r="E149" s="261">
        <v>46044.5</v>
      </c>
      <c r="F149" s="261">
        <v>0</v>
      </c>
      <c r="G149" s="261">
        <v>0</v>
      </c>
      <c r="H149" s="261">
        <v>62220.38</v>
      </c>
      <c r="I149" s="261">
        <f t="shared" si="4"/>
        <v>319359.05</v>
      </c>
      <c r="J149" s="261">
        <v>0</v>
      </c>
      <c r="K149" s="261">
        <f t="shared" si="5"/>
        <v>319359.05</v>
      </c>
    </row>
    <row r="150" spans="1:11" s="240" customFormat="1" ht="12.75" x14ac:dyDescent="0.2">
      <c r="A150" s="259" t="s">
        <v>289</v>
      </c>
      <c r="B150" s="260">
        <v>2006</v>
      </c>
      <c r="C150" s="261">
        <v>56488.6</v>
      </c>
      <c r="D150" s="261">
        <v>0</v>
      </c>
      <c r="E150" s="261">
        <v>12393.5</v>
      </c>
      <c r="F150" s="261">
        <v>7876.8</v>
      </c>
      <c r="G150" s="261">
        <v>8235.93</v>
      </c>
      <c r="H150" s="261">
        <v>61154.720000000001</v>
      </c>
      <c r="I150" s="261">
        <f t="shared" si="4"/>
        <v>146149.55000000002</v>
      </c>
      <c r="J150" s="261">
        <v>8235.93</v>
      </c>
      <c r="K150" s="261">
        <f t="shared" si="5"/>
        <v>137913.62000000002</v>
      </c>
    </row>
    <row r="151" spans="1:11" s="240" customFormat="1" ht="12.75" x14ac:dyDescent="0.2">
      <c r="A151" s="259" t="s">
        <v>290</v>
      </c>
      <c r="B151" s="260">
        <v>55004</v>
      </c>
      <c r="C151" s="261">
        <v>37205.230000000003</v>
      </c>
      <c r="D151" s="261">
        <v>0</v>
      </c>
      <c r="E151" s="261">
        <v>15147.63</v>
      </c>
      <c r="F151" s="261">
        <v>138.68</v>
      </c>
      <c r="G151" s="261">
        <v>0</v>
      </c>
      <c r="H151" s="261">
        <v>6474.2</v>
      </c>
      <c r="I151" s="261">
        <f t="shared" si="4"/>
        <v>58965.74</v>
      </c>
      <c r="J151" s="261">
        <v>0</v>
      </c>
      <c r="K151" s="261">
        <f t="shared" si="5"/>
        <v>58965.74</v>
      </c>
    </row>
    <row r="152" spans="1:11" s="240" customFormat="1" ht="12.75" x14ac:dyDescent="0.2">
      <c r="A152" s="259" t="s">
        <v>291</v>
      </c>
      <c r="B152" s="260">
        <v>63003</v>
      </c>
      <c r="C152" s="261">
        <v>290539.02</v>
      </c>
      <c r="D152" s="261">
        <v>0</v>
      </c>
      <c r="E152" s="261">
        <v>320179.69</v>
      </c>
      <c r="F152" s="261">
        <v>0</v>
      </c>
      <c r="G152" s="261">
        <v>0</v>
      </c>
      <c r="H152" s="261">
        <v>482331.11</v>
      </c>
      <c r="I152" s="261">
        <f t="shared" si="4"/>
        <v>1093049.8199999998</v>
      </c>
      <c r="J152" s="261">
        <v>0</v>
      </c>
      <c r="K152" s="261">
        <f t="shared" si="5"/>
        <v>1093049.8199999998</v>
      </c>
    </row>
    <row r="153" spans="1:11" s="240" customFormat="1" ht="12.75" x14ac:dyDescent="0.2">
      <c r="C153" s="244">
        <f t="shared" ref="C153:H153" si="6">SUM(C5:C152)</f>
        <v>23949174.75</v>
      </c>
      <c r="D153" s="244">
        <f t="shared" si="6"/>
        <v>29345.309999999998</v>
      </c>
      <c r="E153" s="244">
        <f t="shared" si="6"/>
        <v>8619046.0499999989</v>
      </c>
      <c r="F153" s="244">
        <f t="shared" si="6"/>
        <v>315827.99</v>
      </c>
      <c r="G153" s="244">
        <f t="shared" si="6"/>
        <v>5413754.9699999988</v>
      </c>
      <c r="H153" s="244">
        <f t="shared" si="6"/>
        <v>17282532.149999999</v>
      </c>
      <c r="I153" s="244">
        <f>SUM(I5:I152)</f>
        <v>55609681.219999999</v>
      </c>
      <c r="J153" s="244">
        <f>SUM(J5:J152)</f>
        <v>3810063.3860000009</v>
      </c>
      <c r="K153" s="244">
        <f t="shared" ref="K153" si="7">SUM(K5:K152)</f>
        <v>51799617.833999991</v>
      </c>
    </row>
    <row r="154" spans="1:11" s="240" customFormat="1" ht="12.75" x14ac:dyDescent="0.2"/>
    <row r="155" spans="1:11" s="240" customFormat="1" ht="12.75" x14ac:dyDescent="0.2"/>
    <row r="156" spans="1:11" s="240" customFormat="1" ht="12.75" x14ac:dyDescent="0.2"/>
    <row r="157" spans="1:11" s="240" customFormat="1" ht="12.75" x14ac:dyDescent="0.2"/>
    <row r="158" spans="1:11" s="240" customFormat="1" ht="12.75" x14ac:dyDescent="0.2"/>
    <row r="159" spans="1:11" s="240" customFormat="1" ht="12.75" x14ac:dyDescent="0.2"/>
    <row r="160" spans="1:11" s="240" customFormat="1" ht="12.75" x14ac:dyDescent="0.2"/>
    <row r="161" s="240" customFormat="1" ht="12.75" x14ac:dyDescent="0.2"/>
    <row r="162" s="240" customFormat="1" ht="12.75" x14ac:dyDescent="0.2"/>
    <row r="163" s="240" customFormat="1" ht="12.75" x14ac:dyDescent="0.2"/>
    <row r="164" s="240" customFormat="1" ht="12.75" x14ac:dyDescent="0.2"/>
    <row r="165" s="240" customFormat="1" ht="12.75" x14ac:dyDescent="0.2"/>
    <row r="166" s="240" customFormat="1" ht="12.75" x14ac:dyDescent="0.2"/>
    <row r="167" s="240" customFormat="1" ht="12.75" x14ac:dyDescent="0.2"/>
    <row r="168" s="240" customFormat="1" ht="12.75" x14ac:dyDescent="0.2"/>
    <row r="169" s="240" customFormat="1" ht="12.75" x14ac:dyDescent="0.2"/>
    <row r="170" s="240" customFormat="1" ht="12.75" x14ac:dyDescent="0.2"/>
    <row r="171" s="240" customFormat="1" ht="12.75" x14ac:dyDescent="0.2"/>
    <row r="172" s="240" customFormat="1" ht="12.75" x14ac:dyDescent="0.2"/>
    <row r="173" s="240" customFormat="1" ht="12.75" x14ac:dyDescent="0.2"/>
    <row r="174" s="240" customFormat="1" ht="12.75" x14ac:dyDescent="0.2"/>
    <row r="175" s="240" customFormat="1" ht="12.75" x14ac:dyDescent="0.2"/>
    <row r="176" s="240" customFormat="1" ht="12.75" x14ac:dyDescent="0.2"/>
    <row r="177" s="240" customFormat="1" ht="12.75" x14ac:dyDescent="0.2"/>
    <row r="178" s="240" customFormat="1" ht="12.75" x14ac:dyDescent="0.2"/>
    <row r="179" s="240" customFormat="1" ht="12.75" x14ac:dyDescent="0.2"/>
    <row r="180" s="240" customFormat="1" ht="12.75" x14ac:dyDescent="0.2"/>
    <row r="181" s="240" customFormat="1" ht="12.75" x14ac:dyDescent="0.2"/>
    <row r="182" s="240" customFormat="1" ht="12.75" x14ac:dyDescent="0.2"/>
    <row r="183" s="240" customFormat="1" ht="12.75" x14ac:dyDescent="0.2"/>
    <row r="184" s="240" customFormat="1" ht="12.75" x14ac:dyDescent="0.2"/>
    <row r="185" s="240" customFormat="1" ht="12.75" x14ac:dyDescent="0.2"/>
    <row r="186" s="240" customFormat="1" ht="12.75" x14ac:dyDescent="0.2"/>
    <row r="187" s="240" customFormat="1" ht="12.75" x14ac:dyDescent="0.2"/>
    <row r="188" s="240" customFormat="1" ht="12.75" x14ac:dyDescent="0.2"/>
    <row r="189" s="240" customFormat="1" ht="12.75" x14ac:dyDescent="0.2"/>
    <row r="190" s="240" customFormat="1" ht="12.75" x14ac:dyDescent="0.2"/>
    <row r="191" s="240" customFormat="1" ht="12.75" x14ac:dyDescent="0.2"/>
    <row r="192" s="240" customFormat="1" ht="12.75" x14ac:dyDescent="0.2"/>
    <row r="193" s="240" customFormat="1" ht="12.75" x14ac:dyDescent="0.2"/>
    <row r="194" s="240" customFormat="1" ht="12.75" x14ac:dyDescent="0.2"/>
    <row r="195" s="240" customFormat="1" ht="12.75" x14ac:dyDescent="0.2"/>
    <row r="196" s="240" customFormat="1" ht="12.75" x14ac:dyDescent="0.2"/>
    <row r="197" s="240" customFormat="1" ht="12.75" x14ac:dyDescent="0.2"/>
    <row r="198" s="240" customFormat="1" ht="12.75" x14ac:dyDescent="0.2"/>
    <row r="199" s="240" customFormat="1" ht="12.75" x14ac:dyDescent="0.2"/>
    <row r="200" s="240" customFormat="1" ht="12.75" x14ac:dyDescent="0.2"/>
    <row r="201" s="240" customFormat="1" ht="12.75" x14ac:dyDescent="0.2"/>
    <row r="202" s="240" customFormat="1" ht="12.75" x14ac:dyDescent="0.2"/>
    <row r="203" s="240" customFormat="1" ht="12.75" x14ac:dyDescent="0.2"/>
    <row r="204" s="240" customFormat="1" ht="12.75" x14ac:dyDescent="0.2"/>
    <row r="205" s="240" customFormat="1" ht="12.75" x14ac:dyDescent="0.2"/>
    <row r="206" s="240" customFormat="1" ht="12.75" x14ac:dyDescent="0.2"/>
    <row r="207" s="240" customFormat="1" ht="12.75" x14ac:dyDescent="0.2"/>
    <row r="208" s="240" customFormat="1" ht="12.75" x14ac:dyDescent="0.2"/>
    <row r="209" s="240" customFormat="1" ht="12.75" x14ac:dyDescent="0.2"/>
    <row r="210" s="240" customFormat="1" ht="12.75" x14ac:dyDescent="0.2"/>
    <row r="211" s="240" customFormat="1" ht="12.75" x14ac:dyDescent="0.2"/>
    <row r="212" s="240" customFormat="1" ht="12.75" x14ac:dyDescent="0.2"/>
    <row r="213" s="240" customFormat="1" ht="12.75" x14ac:dyDescent="0.2"/>
    <row r="214" s="240" customFormat="1" ht="12.75" x14ac:dyDescent="0.2"/>
    <row r="215" s="240" customFormat="1" ht="12.75" x14ac:dyDescent="0.2"/>
    <row r="216" s="240" customFormat="1" ht="12.75" x14ac:dyDescent="0.2"/>
    <row r="217" s="240" customFormat="1" ht="12.75" x14ac:dyDescent="0.2"/>
    <row r="218" s="240" customFormat="1" ht="12.75" x14ac:dyDescent="0.2"/>
    <row r="219" s="240" customFormat="1" ht="12.75" x14ac:dyDescent="0.2"/>
    <row r="220" s="240" customFormat="1" ht="12.75" x14ac:dyDescent="0.2"/>
    <row r="221" s="240" customFormat="1" ht="12.75" x14ac:dyDescent="0.2"/>
    <row r="222" s="240" customFormat="1" ht="12.75" x14ac:dyDescent="0.2"/>
    <row r="223" s="240" customFormat="1" ht="12.75" x14ac:dyDescent="0.2"/>
    <row r="224" s="240" customFormat="1" ht="12.75" x14ac:dyDescent="0.2"/>
    <row r="225" s="240" customFormat="1" ht="12.75" x14ac:dyDescent="0.2"/>
    <row r="226" s="240" customFormat="1" ht="12.75" x14ac:dyDescent="0.2"/>
    <row r="227" s="240" customFormat="1" ht="12.75" x14ac:dyDescent="0.2"/>
    <row r="228" s="240" customFormat="1" ht="12.75" x14ac:dyDescent="0.2"/>
    <row r="229" s="240" customFormat="1" ht="12.75" x14ac:dyDescent="0.2"/>
    <row r="230" s="240" customFormat="1" ht="12.75" x14ac:dyDescent="0.2"/>
    <row r="231" s="240" customFormat="1" ht="12.75" x14ac:dyDescent="0.2"/>
    <row r="232" s="240" customFormat="1" ht="12.75" x14ac:dyDescent="0.2"/>
    <row r="233" s="240" customFormat="1" ht="12.75" x14ac:dyDescent="0.2"/>
    <row r="234" s="240" customFormat="1" ht="12.75" x14ac:dyDescent="0.2"/>
    <row r="235" s="240" customFormat="1" ht="12.75" x14ac:dyDescent="0.2"/>
    <row r="236" s="240" customFormat="1" ht="12.75" x14ac:dyDescent="0.2"/>
    <row r="237" s="240" customFormat="1" ht="12.75" x14ac:dyDescent="0.2"/>
    <row r="238" s="240" customFormat="1" ht="12.75" x14ac:dyDescent="0.2"/>
    <row r="239" s="240" customFormat="1" ht="12.75" x14ac:dyDescent="0.2"/>
    <row r="240" s="240" customFormat="1" ht="12.75" x14ac:dyDescent="0.2"/>
    <row r="241" s="240" customFormat="1" ht="12.75" x14ac:dyDescent="0.2"/>
    <row r="242" s="240" customFormat="1" ht="12.75" x14ac:dyDescent="0.2"/>
    <row r="243" s="240" customFormat="1" ht="12.75" x14ac:dyDescent="0.2"/>
    <row r="244" s="240" customFormat="1" ht="12.75" x14ac:dyDescent="0.2"/>
    <row r="245" s="240" customFormat="1" ht="12.75" x14ac:dyDescent="0.2"/>
    <row r="246" s="240" customFormat="1" ht="12.75" x14ac:dyDescent="0.2"/>
    <row r="247" s="240" customFormat="1" ht="12.75" x14ac:dyDescent="0.2"/>
    <row r="248" s="240" customFormat="1" ht="12.75" x14ac:dyDescent="0.2"/>
    <row r="249" s="240" customFormat="1" ht="12.75" x14ac:dyDescent="0.2"/>
    <row r="250" s="240" customFormat="1" ht="12.75" x14ac:dyDescent="0.2"/>
    <row r="251" s="240" customFormat="1" ht="12.75" x14ac:dyDescent="0.2"/>
    <row r="252" s="240" customFormat="1" ht="12.75" x14ac:dyDescent="0.2"/>
    <row r="253" s="240" customFormat="1" ht="12.75" x14ac:dyDescent="0.2"/>
    <row r="254" s="240" customFormat="1" ht="12.75" x14ac:dyDescent="0.2"/>
    <row r="255" s="240" customFormat="1" ht="12.75" x14ac:dyDescent="0.2"/>
    <row r="256" s="240" customFormat="1" ht="12.75" x14ac:dyDescent="0.2"/>
    <row r="257" s="240" customFormat="1" ht="12.75" x14ac:dyDescent="0.2"/>
    <row r="258" s="240" customFormat="1" ht="12.75" x14ac:dyDescent="0.2"/>
    <row r="259" s="240" customFormat="1" ht="12.75" x14ac:dyDescent="0.2"/>
    <row r="260" s="240" customFormat="1" ht="12.75" x14ac:dyDescent="0.2"/>
    <row r="261" s="240" customFormat="1" ht="12.75" x14ac:dyDescent="0.2"/>
    <row r="262" s="240" customFormat="1" ht="12.75" x14ac:dyDescent="0.2"/>
    <row r="263" s="240" customFormat="1" ht="12.75" x14ac:dyDescent="0.2"/>
    <row r="264" s="240" customFormat="1" ht="12.75" x14ac:dyDescent="0.2"/>
    <row r="265" s="240" customFormat="1" ht="12.75" x14ac:dyDescent="0.2"/>
    <row r="266" s="240" customFormat="1" ht="12.75" x14ac:dyDescent="0.2"/>
    <row r="267" s="240" customFormat="1" ht="12.75" x14ac:dyDescent="0.2"/>
    <row r="268" s="240" customFormat="1" ht="12.75" x14ac:dyDescent="0.2"/>
    <row r="269" s="240" customFormat="1" ht="12.75" x14ac:dyDescent="0.2"/>
    <row r="270" s="240" customFormat="1" ht="12.75" x14ac:dyDescent="0.2"/>
    <row r="271" s="240" customFormat="1" ht="12.75" x14ac:dyDescent="0.2"/>
    <row r="272" s="240" customFormat="1" ht="12.75" x14ac:dyDescent="0.2"/>
    <row r="273" s="240" customFormat="1" ht="12.75" x14ac:dyDescent="0.2"/>
    <row r="274" s="240" customFormat="1" ht="12.75" x14ac:dyDescent="0.2"/>
    <row r="275" s="240" customFormat="1" ht="12.75" x14ac:dyDescent="0.2"/>
    <row r="276" s="240" customFormat="1" ht="12.75" x14ac:dyDescent="0.2"/>
    <row r="277" s="240" customFormat="1" ht="12.75" x14ac:dyDescent="0.2"/>
    <row r="278" s="240" customFormat="1" ht="12.75" x14ac:dyDescent="0.2"/>
    <row r="279" s="240" customFormat="1" ht="12.75" x14ac:dyDescent="0.2"/>
    <row r="280" s="240" customFormat="1" ht="12.75" x14ac:dyDescent="0.2"/>
    <row r="281" s="240" customFormat="1" ht="12.75" x14ac:dyDescent="0.2"/>
    <row r="282" s="240" customFormat="1" ht="12.75" x14ac:dyDescent="0.2"/>
    <row r="283" s="240" customFormat="1" ht="12.75" x14ac:dyDescent="0.2"/>
    <row r="284" s="240" customFormat="1" ht="12.75" x14ac:dyDescent="0.2"/>
    <row r="285" s="240" customFormat="1" ht="12.75" x14ac:dyDescent="0.2"/>
    <row r="286" s="240" customFormat="1" ht="12.75" x14ac:dyDescent="0.2"/>
    <row r="287" s="240" customFormat="1" ht="12.75" x14ac:dyDescent="0.2"/>
    <row r="288" s="240" customFormat="1" ht="12.75" x14ac:dyDescent="0.2"/>
    <row r="289" s="240" customFormat="1" ht="12.75" x14ac:dyDescent="0.2"/>
    <row r="290" s="240" customFormat="1" ht="12.75" x14ac:dyDescent="0.2"/>
    <row r="291" s="240" customFormat="1" ht="12.75" x14ac:dyDescent="0.2"/>
    <row r="292" s="240" customFormat="1" ht="12.75" x14ac:dyDescent="0.2"/>
    <row r="293" s="240" customFormat="1" ht="12.75" x14ac:dyDescent="0.2"/>
    <row r="294" s="240" customFormat="1" ht="12.75" x14ac:dyDescent="0.2"/>
    <row r="295" s="240" customFormat="1" ht="12.75" x14ac:dyDescent="0.2"/>
    <row r="296" s="240" customFormat="1" ht="12.75" x14ac:dyDescent="0.2"/>
    <row r="297" s="240" customFormat="1" ht="12.75" x14ac:dyDescent="0.2"/>
    <row r="298" s="240" customFormat="1" ht="12.75" x14ac:dyDescent="0.2"/>
    <row r="299" s="240" customFormat="1" ht="12.75" x14ac:dyDescent="0.2"/>
    <row r="300" s="240" customFormat="1" ht="12.75" x14ac:dyDescent="0.2"/>
    <row r="301" s="240" customFormat="1" ht="12.75" x14ac:dyDescent="0.2"/>
    <row r="302" s="240" customFormat="1" ht="12.75" x14ac:dyDescent="0.2"/>
    <row r="303" s="240" customFormat="1" ht="12.75" x14ac:dyDescent="0.2"/>
    <row r="304" s="240" customFormat="1" ht="12.75" x14ac:dyDescent="0.2"/>
    <row r="305" s="240" customFormat="1" ht="12.75" x14ac:dyDescent="0.2"/>
    <row r="306" s="240" customFormat="1" ht="12.75" x14ac:dyDescent="0.2"/>
    <row r="307" s="240" customFormat="1" ht="12.75" x14ac:dyDescent="0.2"/>
    <row r="308" s="240" customFormat="1" ht="12.75" x14ac:dyDescent="0.2"/>
    <row r="309" s="240" customFormat="1" ht="12.75" x14ac:dyDescent="0.2"/>
    <row r="310" s="240" customFormat="1" ht="12.75" x14ac:dyDescent="0.2"/>
    <row r="311" s="240" customFormat="1" ht="12.75" x14ac:dyDescent="0.2"/>
    <row r="312" s="240" customFormat="1" ht="12.75" x14ac:dyDescent="0.2"/>
    <row r="313" s="240" customFormat="1" ht="12.75" x14ac:dyDescent="0.2"/>
    <row r="314" s="240" customFormat="1" ht="12.75" x14ac:dyDescent="0.2"/>
    <row r="315" s="240" customFormat="1" ht="12.75" x14ac:dyDescent="0.2"/>
    <row r="316" s="240" customFormat="1" ht="12.75" x14ac:dyDescent="0.2"/>
    <row r="317" s="240" customFormat="1" ht="12.75" x14ac:dyDescent="0.2"/>
    <row r="318" s="240" customFormat="1" ht="12.75" x14ac:dyDescent="0.2"/>
    <row r="319" s="240" customFormat="1" ht="12.75" x14ac:dyDescent="0.2"/>
    <row r="320" s="240" customFormat="1" ht="12.75" x14ac:dyDescent="0.2"/>
    <row r="321" s="240" customFormat="1" ht="12.75" x14ac:dyDescent="0.2"/>
    <row r="322" s="240" customFormat="1" ht="12.75" x14ac:dyDescent="0.2"/>
    <row r="323" s="240" customFormat="1" ht="12.75" x14ac:dyDescent="0.2"/>
    <row r="324" s="240" customFormat="1" ht="12.75" x14ac:dyDescent="0.2"/>
    <row r="325" s="240" customFormat="1" ht="12.75" x14ac:dyDescent="0.2"/>
    <row r="326" s="240" customFormat="1" ht="12.75" x14ac:dyDescent="0.2"/>
    <row r="327" s="240" customFormat="1" ht="12.75" x14ac:dyDescent="0.2"/>
    <row r="328" s="240" customFormat="1" ht="12.75" x14ac:dyDescent="0.2"/>
    <row r="329" s="240" customFormat="1" ht="12.75" x14ac:dyDescent="0.2"/>
    <row r="330" s="240" customFormat="1" ht="12.75" x14ac:dyDescent="0.2"/>
    <row r="331" s="240" customFormat="1" ht="12.75" x14ac:dyDescent="0.2"/>
    <row r="332" s="240" customFormat="1" ht="12.75" x14ac:dyDescent="0.2"/>
    <row r="333" s="240" customFormat="1" ht="12.75" x14ac:dyDescent="0.2"/>
    <row r="334" s="240" customFormat="1" ht="12.75" x14ac:dyDescent="0.2"/>
    <row r="335" s="240" customFormat="1" ht="12.75" x14ac:dyDescent="0.2"/>
    <row r="336" s="240" customFormat="1" ht="12.75" x14ac:dyDescent="0.2"/>
    <row r="337" s="240" customFormat="1" ht="12.75" x14ac:dyDescent="0.2"/>
    <row r="338" s="240" customFormat="1" ht="12.75" x14ac:dyDescent="0.2"/>
    <row r="339" s="240" customFormat="1" ht="12.75" x14ac:dyDescent="0.2"/>
    <row r="340" s="240" customFormat="1" ht="12.75" x14ac:dyDescent="0.2"/>
    <row r="341" s="240" customFormat="1" ht="12.75" x14ac:dyDescent="0.2"/>
    <row r="342" s="240" customFormat="1" ht="12.75" x14ac:dyDescent="0.2"/>
    <row r="343" s="240" customFormat="1" ht="12.75" x14ac:dyDescent="0.2"/>
    <row r="344" s="240" customFormat="1" ht="12.75" x14ac:dyDescent="0.2"/>
    <row r="345" s="240" customFormat="1" ht="12.75" x14ac:dyDescent="0.2"/>
    <row r="346" s="240" customFormat="1" ht="12.75" x14ac:dyDescent="0.2"/>
    <row r="347" s="240" customFormat="1" ht="12.75" x14ac:dyDescent="0.2"/>
    <row r="348" s="240" customFormat="1" ht="12.75" x14ac:dyDescent="0.2"/>
    <row r="349" s="240" customFormat="1" ht="12.75" x14ac:dyDescent="0.2"/>
    <row r="350" s="240" customFormat="1" ht="12.75" x14ac:dyDescent="0.2"/>
    <row r="351" s="240" customFormat="1" ht="12.75" x14ac:dyDescent="0.2"/>
    <row r="352" s="240" customFormat="1" ht="12.75" x14ac:dyDescent="0.2"/>
    <row r="353" s="240" customFormat="1" ht="12.75" x14ac:dyDescent="0.2"/>
  </sheetData>
  <sheetProtection algorithmName="SHA-512" hashValue="fsgGG7WwSPFn9ZRS7oTKg9uur0hdfO3kGskGR5y8kJGZJiV8wc2XzngqfWjS8BLs9ZLJ9vnD8VcmjuM92wlPFA==" saltValue="MbXR4LYnnQJVgw+FrakBvA==" spinCount="100000" sheet="1" objects="1" scenarios="1"/>
  <pageMargins left="0.35" right="0.2" top="0.35" bottom="0.35" header="0.3" footer="0.3"/>
  <pageSetup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CC584-15B8-47A0-8A47-8886E92FAE4D}">
  <dimension ref="A1:X163"/>
  <sheetViews>
    <sheetView workbookViewId="0">
      <pane ySplit="6" topLeftCell="A7" activePane="bottomLeft" state="frozen"/>
      <selection pane="bottomLeft" activeCell="A3" sqref="A3"/>
    </sheetView>
  </sheetViews>
  <sheetFormatPr defaultColWidth="9.140625" defaultRowHeight="12.75" x14ac:dyDescent="0.2"/>
  <cols>
    <col min="1" max="1" width="22.5703125" style="285" customWidth="1"/>
    <col min="2" max="2" width="7.140625" style="285" bestFit="1" customWidth="1"/>
    <col min="3" max="4" width="14.5703125" style="285" bestFit="1" customWidth="1"/>
    <col min="5" max="6" width="12" style="285" bestFit="1" customWidth="1"/>
    <col min="7" max="7" width="14.5703125" style="285" bestFit="1" customWidth="1"/>
    <col min="8" max="8" width="13.5703125" style="285" bestFit="1" customWidth="1"/>
    <col min="9" max="9" width="10" style="285" bestFit="1" customWidth="1"/>
    <col min="10" max="10" width="9.85546875" style="285" bestFit="1" customWidth="1"/>
    <col min="11" max="11" width="7.140625" style="285" bestFit="1" customWidth="1"/>
    <col min="12" max="12" width="9.7109375" style="285" bestFit="1" customWidth="1"/>
    <col min="13" max="13" width="12" style="285" bestFit="1" customWidth="1"/>
    <col min="14" max="14" width="9.85546875" style="285" bestFit="1" customWidth="1"/>
    <col min="15" max="15" width="12" style="285" bestFit="1" customWidth="1"/>
    <col min="16" max="16" width="6.28515625" style="285" bestFit="1" customWidth="1"/>
    <col min="17" max="17" width="8.85546875" style="285" bestFit="1" customWidth="1"/>
    <col min="18" max="18" width="12" style="285" bestFit="1" customWidth="1"/>
    <col min="19" max="19" width="9.85546875" style="285" bestFit="1" customWidth="1"/>
    <col min="20" max="20" width="14.5703125" style="285" bestFit="1" customWidth="1"/>
    <col min="21" max="21" width="15.5703125" style="285" bestFit="1" customWidth="1"/>
    <col min="22" max="22" width="14.5703125" style="285" bestFit="1" customWidth="1"/>
    <col min="23" max="24" width="12" style="285" bestFit="1" customWidth="1"/>
    <col min="25" max="16384" width="9.140625" style="285"/>
  </cols>
  <sheetData>
    <row r="1" spans="1:23" s="268" customFormat="1" ht="18.75" x14ac:dyDescent="0.3">
      <c r="A1" s="264" t="s">
        <v>460</v>
      </c>
      <c r="B1" s="265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7"/>
      <c r="U1" s="267"/>
      <c r="V1" s="267"/>
      <c r="W1" s="267"/>
    </row>
    <row r="2" spans="1:23" s="270" customFormat="1" x14ac:dyDescent="0.2">
      <c r="A2" s="269" t="s">
        <v>461</v>
      </c>
      <c r="B2" s="265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9"/>
      <c r="U2" s="269"/>
      <c r="V2" s="269"/>
      <c r="W2" s="269"/>
    </row>
    <row r="3" spans="1:23" s="270" customFormat="1" x14ac:dyDescent="0.2">
      <c r="A3" s="271" t="s">
        <v>140</v>
      </c>
      <c r="B3" s="272"/>
      <c r="C3" s="273" t="s">
        <v>315</v>
      </c>
      <c r="D3" s="273" t="s">
        <v>315</v>
      </c>
      <c r="E3" s="273" t="s">
        <v>315</v>
      </c>
      <c r="F3" s="273" t="s">
        <v>315</v>
      </c>
      <c r="G3" s="273" t="s">
        <v>315</v>
      </c>
      <c r="H3" s="273" t="s">
        <v>315</v>
      </c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69"/>
      <c r="U3" s="269"/>
      <c r="V3" s="269"/>
      <c r="W3" s="269"/>
    </row>
    <row r="4" spans="1:23" s="270" customFormat="1" x14ac:dyDescent="0.2">
      <c r="A4" s="274"/>
      <c r="B4" s="272"/>
      <c r="C4" s="275" t="s">
        <v>316</v>
      </c>
      <c r="D4" s="276" t="s">
        <v>316</v>
      </c>
      <c r="E4" s="273"/>
      <c r="F4" s="273"/>
      <c r="G4" s="277" t="s">
        <v>316</v>
      </c>
      <c r="H4" s="277" t="s">
        <v>316</v>
      </c>
      <c r="I4" s="275" t="s">
        <v>316</v>
      </c>
      <c r="J4" s="276" t="s">
        <v>316</v>
      </c>
      <c r="K4" s="273"/>
      <c r="L4" s="273"/>
      <c r="M4" s="277" t="s">
        <v>316</v>
      </c>
      <c r="N4" s="275" t="s">
        <v>316</v>
      </c>
      <c r="O4" s="276" t="s">
        <v>316</v>
      </c>
      <c r="P4" s="273"/>
      <c r="Q4" s="273"/>
      <c r="R4" s="277" t="s">
        <v>316</v>
      </c>
      <c r="S4" s="277" t="s">
        <v>316</v>
      </c>
      <c r="T4" s="269"/>
      <c r="U4" s="269"/>
      <c r="V4" s="269"/>
      <c r="W4" s="269"/>
    </row>
    <row r="5" spans="1:23" s="270" customFormat="1" ht="38.25" x14ac:dyDescent="0.2">
      <c r="A5" s="278" t="s">
        <v>142</v>
      </c>
      <c r="B5" s="279" t="s">
        <v>377</v>
      </c>
      <c r="C5" s="65" t="s">
        <v>396</v>
      </c>
      <c r="D5" s="65" t="s">
        <v>397</v>
      </c>
      <c r="E5" s="65" t="s">
        <v>398</v>
      </c>
      <c r="F5" s="65" t="s">
        <v>378</v>
      </c>
      <c r="G5" s="65" t="s">
        <v>379</v>
      </c>
      <c r="H5" s="65" t="s">
        <v>380</v>
      </c>
      <c r="I5" s="65" t="s">
        <v>317</v>
      </c>
      <c r="J5" s="65" t="s">
        <v>318</v>
      </c>
      <c r="K5" s="65" t="s">
        <v>319</v>
      </c>
      <c r="L5" s="65" t="s">
        <v>320</v>
      </c>
      <c r="M5" s="65" t="s">
        <v>321</v>
      </c>
      <c r="N5" s="65" t="s">
        <v>322</v>
      </c>
      <c r="O5" s="65" t="s">
        <v>323</v>
      </c>
      <c r="P5" s="65" t="s">
        <v>324</v>
      </c>
      <c r="Q5" s="65" t="s">
        <v>399</v>
      </c>
      <c r="R5" s="65" t="s">
        <v>325</v>
      </c>
      <c r="S5" s="65" t="s">
        <v>9</v>
      </c>
      <c r="T5" s="228" t="s">
        <v>326</v>
      </c>
      <c r="U5" s="229" t="s">
        <v>327</v>
      </c>
      <c r="V5" s="230" t="s">
        <v>328</v>
      </c>
      <c r="W5" s="65" t="s">
        <v>329</v>
      </c>
    </row>
    <row r="6" spans="1:23" s="280" customFormat="1" ht="13.5" thickBot="1" x14ac:dyDescent="0.25">
      <c r="A6" s="280" t="s">
        <v>462</v>
      </c>
      <c r="B6" s="280" t="s">
        <v>463</v>
      </c>
      <c r="C6" s="281" t="s">
        <v>464</v>
      </c>
      <c r="D6" s="281" t="s">
        <v>465</v>
      </c>
      <c r="E6" s="281" t="s">
        <v>466</v>
      </c>
      <c r="F6" s="281" t="s">
        <v>467</v>
      </c>
      <c r="G6" s="281" t="s">
        <v>468</v>
      </c>
      <c r="H6" s="281" t="s">
        <v>469</v>
      </c>
      <c r="I6" s="281" t="s">
        <v>317</v>
      </c>
      <c r="J6" s="281" t="s">
        <v>318</v>
      </c>
      <c r="K6" s="281" t="s">
        <v>319</v>
      </c>
      <c r="L6" s="281" t="s">
        <v>320</v>
      </c>
      <c r="M6" s="281" t="s">
        <v>321</v>
      </c>
      <c r="N6" s="281" t="s">
        <v>322</v>
      </c>
      <c r="O6" s="281" t="s">
        <v>323</v>
      </c>
      <c r="P6" s="281" t="s">
        <v>324</v>
      </c>
      <c r="Q6" s="281" t="s">
        <v>470</v>
      </c>
      <c r="R6" s="281" t="s">
        <v>325</v>
      </c>
      <c r="S6" s="281" t="s">
        <v>9</v>
      </c>
    </row>
    <row r="7" spans="1:23" x14ac:dyDescent="0.2">
      <c r="A7" s="282" t="s">
        <v>105</v>
      </c>
      <c r="B7" s="282">
        <v>1001</v>
      </c>
      <c r="C7" s="283">
        <v>320665626</v>
      </c>
      <c r="D7" s="283">
        <v>42481590</v>
      </c>
      <c r="E7" s="283">
        <v>491949</v>
      </c>
      <c r="F7" s="283">
        <v>2164446</v>
      </c>
      <c r="G7" s="283">
        <v>29998429</v>
      </c>
      <c r="H7" s="283">
        <v>556241</v>
      </c>
      <c r="I7" s="283">
        <v>0</v>
      </c>
      <c r="J7" s="283">
        <v>0</v>
      </c>
      <c r="K7" s="283">
        <v>0</v>
      </c>
      <c r="L7" s="283">
        <v>0</v>
      </c>
      <c r="M7" s="283">
        <v>0</v>
      </c>
      <c r="N7" s="283">
        <v>0</v>
      </c>
      <c r="O7" s="283">
        <v>0</v>
      </c>
      <c r="P7" s="283">
        <v>0</v>
      </c>
      <c r="Q7" s="283">
        <v>0</v>
      </c>
      <c r="R7" s="283">
        <v>0</v>
      </c>
      <c r="S7" s="283">
        <v>0</v>
      </c>
      <c r="T7" s="284">
        <f>C7+I7+N7</f>
        <v>320665626</v>
      </c>
      <c r="U7" s="284">
        <f>D7+J7+O7</f>
        <v>42481590</v>
      </c>
      <c r="V7" s="284">
        <f>G7+H7+M7+R7+S7</f>
        <v>30554670</v>
      </c>
      <c r="W7" s="284">
        <f>ROUND(((T7*1.197)/1000+(U7*2.679)/1000+(V7*5.544)/1000)/2,0)</f>
        <v>333520</v>
      </c>
    </row>
    <row r="8" spans="1:23" x14ac:dyDescent="0.2">
      <c r="A8" s="282" t="s">
        <v>133</v>
      </c>
      <c r="B8" s="282">
        <v>1003</v>
      </c>
      <c r="C8" s="283">
        <v>261116700</v>
      </c>
      <c r="D8" s="283">
        <v>22505339</v>
      </c>
      <c r="E8" s="283">
        <v>297677</v>
      </c>
      <c r="F8" s="283">
        <v>1280651</v>
      </c>
      <c r="G8" s="283">
        <v>11397251</v>
      </c>
      <c r="H8" s="283">
        <v>1375103</v>
      </c>
      <c r="I8" s="283">
        <v>0</v>
      </c>
      <c r="J8" s="283">
        <v>0</v>
      </c>
      <c r="K8" s="283">
        <v>0</v>
      </c>
      <c r="L8" s="283">
        <v>0</v>
      </c>
      <c r="M8" s="283">
        <v>0</v>
      </c>
      <c r="N8" s="283">
        <v>0</v>
      </c>
      <c r="O8" s="283">
        <v>0</v>
      </c>
      <c r="P8" s="283">
        <v>0</v>
      </c>
      <c r="Q8" s="283">
        <v>0</v>
      </c>
      <c r="R8" s="283">
        <v>0</v>
      </c>
      <c r="S8" s="283">
        <v>0</v>
      </c>
      <c r="T8" s="284">
        <f t="shared" ref="T8:U71" si="0">C8+I8+N8</f>
        <v>261116700</v>
      </c>
      <c r="U8" s="284">
        <f t="shared" si="0"/>
        <v>22505339</v>
      </c>
      <c r="V8" s="284">
        <f t="shared" ref="V8:V71" si="1">G8+H8+M8+R8+S8</f>
        <v>12772354</v>
      </c>
      <c r="W8" s="284">
        <f t="shared" ref="W8:W71" si="2">ROUND(((T8*1.197)/1000+(U8*2.679)/1000+(V8*5.544)/1000)/2,0)</f>
        <v>221829</v>
      </c>
    </row>
    <row r="9" spans="1:23" x14ac:dyDescent="0.2">
      <c r="A9" s="282" t="s">
        <v>74</v>
      </c>
      <c r="B9" s="282">
        <v>2002</v>
      </c>
      <c r="C9" s="283">
        <v>531831216</v>
      </c>
      <c r="D9" s="283">
        <v>716681387</v>
      </c>
      <c r="E9" s="283">
        <v>4661450</v>
      </c>
      <c r="F9" s="283">
        <v>8209275</v>
      </c>
      <c r="G9" s="283">
        <v>362304941</v>
      </c>
      <c r="H9" s="283">
        <v>57963521</v>
      </c>
      <c r="I9" s="283">
        <v>0</v>
      </c>
      <c r="J9" s="283">
        <v>0</v>
      </c>
      <c r="K9" s="283">
        <v>0</v>
      </c>
      <c r="L9" s="283">
        <v>0</v>
      </c>
      <c r="M9" s="283">
        <v>1</v>
      </c>
      <c r="N9" s="283">
        <v>0</v>
      </c>
      <c r="O9" s="283">
        <v>0</v>
      </c>
      <c r="P9" s="283">
        <v>0</v>
      </c>
      <c r="Q9" s="283">
        <v>0</v>
      </c>
      <c r="R9" s="283">
        <v>0</v>
      </c>
      <c r="S9" s="283">
        <v>0</v>
      </c>
      <c r="T9" s="284">
        <f t="shared" si="0"/>
        <v>531831216</v>
      </c>
      <c r="U9" s="284">
        <f t="shared" si="0"/>
        <v>716681387</v>
      </c>
      <c r="V9" s="284">
        <f t="shared" si="1"/>
        <v>420268463</v>
      </c>
      <c r="W9" s="284">
        <f t="shared" si="2"/>
        <v>2443280</v>
      </c>
    </row>
    <row r="10" spans="1:23" x14ac:dyDescent="0.2">
      <c r="A10" s="282" t="s">
        <v>76</v>
      </c>
      <c r="B10" s="282">
        <v>2003</v>
      </c>
      <c r="C10" s="283">
        <v>461812214</v>
      </c>
      <c r="D10" s="283">
        <v>49731077</v>
      </c>
      <c r="E10" s="283">
        <v>434576</v>
      </c>
      <c r="F10" s="283">
        <v>2152645</v>
      </c>
      <c r="G10" s="283">
        <v>15287809</v>
      </c>
      <c r="H10" s="283">
        <v>58362531</v>
      </c>
      <c r="I10" s="283">
        <v>0</v>
      </c>
      <c r="J10" s="283">
        <v>0</v>
      </c>
      <c r="K10" s="283">
        <v>0</v>
      </c>
      <c r="L10" s="283">
        <v>0</v>
      </c>
      <c r="M10" s="283">
        <v>0</v>
      </c>
      <c r="N10" s="283">
        <v>0</v>
      </c>
      <c r="O10" s="283">
        <v>0</v>
      </c>
      <c r="P10" s="283">
        <v>0</v>
      </c>
      <c r="Q10" s="283">
        <v>0</v>
      </c>
      <c r="R10" s="283">
        <v>0</v>
      </c>
      <c r="S10" s="283">
        <v>0</v>
      </c>
      <c r="T10" s="284">
        <f t="shared" si="0"/>
        <v>461812214</v>
      </c>
      <c r="U10" s="284">
        <f t="shared" si="0"/>
        <v>49731077</v>
      </c>
      <c r="V10" s="284">
        <f t="shared" si="1"/>
        <v>73650340</v>
      </c>
      <c r="W10" s="284">
        <f t="shared" si="2"/>
        <v>547168</v>
      </c>
    </row>
    <row r="11" spans="1:23" x14ac:dyDescent="0.2">
      <c r="A11" s="282" t="s">
        <v>471</v>
      </c>
      <c r="B11" s="282">
        <v>2006</v>
      </c>
      <c r="C11" s="283">
        <v>470137173</v>
      </c>
      <c r="D11" s="283">
        <v>54488240</v>
      </c>
      <c r="E11" s="283">
        <v>465852</v>
      </c>
      <c r="F11" s="283">
        <v>2656292</v>
      </c>
      <c r="G11" s="283">
        <v>28809607</v>
      </c>
      <c r="H11" s="283">
        <v>10493370</v>
      </c>
      <c r="I11" s="283">
        <v>1</v>
      </c>
      <c r="J11" s="283">
        <v>0</v>
      </c>
      <c r="K11" s="283">
        <v>0</v>
      </c>
      <c r="L11" s="283">
        <v>0</v>
      </c>
      <c r="M11" s="283">
        <v>0</v>
      </c>
      <c r="N11" s="283">
        <v>0</v>
      </c>
      <c r="O11" s="283">
        <v>0</v>
      </c>
      <c r="P11" s="283">
        <v>0</v>
      </c>
      <c r="Q11" s="283">
        <v>0</v>
      </c>
      <c r="R11" s="283">
        <v>0</v>
      </c>
      <c r="S11" s="283">
        <v>0</v>
      </c>
      <c r="T11" s="284">
        <f t="shared" si="0"/>
        <v>470137174</v>
      </c>
      <c r="U11" s="284">
        <f t="shared" si="0"/>
        <v>54488240</v>
      </c>
      <c r="V11" s="284">
        <f t="shared" si="1"/>
        <v>39302977</v>
      </c>
      <c r="W11" s="284">
        <f t="shared" si="2"/>
        <v>463312</v>
      </c>
    </row>
    <row r="12" spans="1:23" x14ac:dyDescent="0.2">
      <c r="A12" s="282" t="s">
        <v>17</v>
      </c>
      <c r="B12" s="282">
        <v>3001</v>
      </c>
      <c r="C12" s="283">
        <v>230713332</v>
      </c>
      <c r="D12" s="283">
        <v>37847048</v>
      </c>
      <c r="E12" s="283">
        <v>578076</v>
      </c>
      <c r="F12" s="283">
        <v>3681114</v>
      </c>
      <c r="G12" s="283">
        <v>24004215</v>
      </c>
      <c r="H12" s="283">
        <v>0</v>
      </c>
      <c r="I12" s="283">
        <v>0</v>
      </c>
      <c r="J12" s="283">
        <v>0</v>
      </c>
      <c r="K12" s="283">
        <v>0</v>
      </c>
      <c r="L12" s="283">
        <v>0</v>
      </c>
      <c r="M12" s="283">
        <v>0</v>
      </c>
      <c r="N12" s="283">
        <v>0</v>
      </c>
      <c r="O12" s="283">
        <v>0</v>
      </c>
      <c r="P12" s="283">
        <v>0</v>
      </c>
      <c r="Q12" s="283">
        <v>0</v>
      </c>
      <c r="R12" s="283">
        <v>0</v>
      </c>
      <c r="S12" s="283">
        <v>0</v>
      </c>
      <c r="T12" s="284">
        <f t="shared" si="0"/>
        <v>230713332</v>
      </c>
      <c r="U12" s="284">
        <f t="shared" si="0"/>
        <v>37847048</v>
      </c>
      <c r="V12" s="284">
        <f t="shared" si="1"/>
        <v>24004215</v>
      </c>
      <c r="W12" s="284">
        <f t="shared" si="2"/>
        <v>255318</v>
      </c>
    </row>
    <row r="13" spans="1:23" x14ac:dyDescent="0.2">
      <c r="A13" s="282" t="s">
        <v>14</v>
      </c>
      <c r="B13" s="282">
        <v>4001</v>
      </c>
      <c r="C13" s="283">
        <v>197673456</v>
      </c>
      <c r="D13" s="283">
        <v>44075005</v>
      </c>
      <c r="E13" s="283">
        <v>155398</v>
      </c>
      <c r="F13" s="283">
        <v>859659</v>
      </c>
      <c r="G13" s="283">
        <v>19002509</v>
      </c>
      <c r="H13" s="283">
        <v>1067470</v>
      </c>
      <c r="I13" s="283">
        <v>3</v>
      </c>
      <c r="J13" s="283">
        <v>0</v>
      </c>
      <c r="K13" s="283">
        <v>0</v>
      </c>
      <c r="L13" s="283">
        <v>0</v>
      </c>
      <c r="M13" s="283">
        <v>0</v>
      </c>
      <c r="N13" s="283">
        <v>0</v>
      </c>
      <c r="O13" s="283">
        <v>0</v>
      </c>
      <c r="P13" s="283">
        <v>0</v>
      </c>
      <c r="Q13" s="283">
        <v>0</v>
      </c>
      <c r="R13" s="283">
        <v>0</v>
      </c>
      <c r="S13" s="283">
        <v>0</v>
      </c>
      <c r="T13" s="284">
        <f t="shared" si="0"/>
        <v>197673459</v>
      </c>
      <c r="U13" s="284">
        <f t="shared" si="0"/>
        <v>44075005</v>
      </c>
      <c r="V13" s="284">
        <f t="shared" si="1"/>
        <v>20069979</v>
      </c>
      <c r="W13" s="284">
        <f t="shared" si="2"/>
        <v>232980</v>
      </c>
    </row>
    <row r="14" spans="1:23" x14ac:dyDescent="0.2">
      <c r="A14" s="282" t="s">
        <v>21</v>
      </c>
      <c r="B14" s="282">
        <v>4002</v>
      </c>
      <c r="C14" s="283">
        <v>355961070</v>
      </c>
      <c r="D14" s="283">
        <v>170729052</v>
      </c>
      <c r="E14" s="283">
        <v>1063964</v>
      </c>
      <c r="F14" s="283">
        <v>3647711</v>
      </c>
      <c r="G14" s="283">
        <v>83236484</v>
      </c>
      <c r="H14" s="283">
        <v>1409253</v>
      </c>
      <c r="I14" s="283">
        <v>1</v>
      </c>
      <c r="J14" s="283">
        <v>0</v>
      </c>
      <c r="K14" s="283">
        <v>0</v>
      </c>
      <c r="L14" s="283">
        <v>0</v>
      </c>
      <c r="M14" s="283">
        <v>0</v>
      </c>
      <c r="N14" s="283">
        <v>0</v>
      </c>
      <c r="O14" s="283">
        <v>0</v>
      </c>
      <c r="P14" s="283">
        <v>0</v>
      </c>
      <c r="Q14" s="283">
        <v>0</v>
      </c>
      <c r="R14" s="283">
        <v>0</v>
      </c>
      <c r="S14" s="283">
        <v>0</v>
      </c>
      <c r="T14" s="284">
        <f t="shared" si="0"/>
        <v>355961071</v>
      </c>
      <c r="U14" s="284">
        <f t="shared" si="0"/>
        <v>170729052</v>
      </c>
      <c r="V14" s="284">
        <f t="shared" si="1"/>
        <v>84645737</v>
      </c>
      <c r="W14" s="284">
        <f t="shared" si="2"/>
        <v>676372</v>
      </c>
    </row>
    <row r="15" spans="1:23" x14ac:dyDescent="0.2">
      <c r="A15" s="282" t="s">
        <v>110</v>
      </c>
      <c r="B15" s="282">
        <v>4003</v>
      </c>
      <c r="C15" s="283">
        <v>333723811</v>
      </c>
      <c r="D15" s="283">
        <v>67358696</v>
      </c>
      <c r="E15" s="283">
        <v>161349</v>
      </c>
      <c r="F15" s="283">
        <v>2500778</v>
      </c>
      <c r="G15" s="283">
        <v>37377426</v>
      </c>
      <c r="H15" s="283">
        <v>3956583</v>
      </c>
      <c r="I15" s="283">
        <v>0</v>
      </c>
      <c r="J15" s="283">
        <v>0</v>
      </c>
      <c r="K15" s="283">
        <v>0</v>
      </c>
      <c r="L15" s="283">
        <v>0</v>
      </c>
      <c r="M15" s="283">
        <v>0</v>
      </c>
      <c r="N15" s="283">
        <v>0</v>
      </c>
      <c r="O15" s="283">
        <v>0</v>
      </c>
      <c r="P15" s="283">
        <v>0</v>
      </c>
      <c r="Q15" s="283">
        <v>0</v>
      </c>
      <c r="R15" s="283">
        <v>0</v>
      </c>
      <c r="S15" s="283">
        <v>0</v>
      </c>
      <c r="T15" s="284">
        <f t="shared" si="0"/>
        <v>333723811</v>
      </c>
      <c r="U15" s="284">
        <f t="shared" si="0"/>
        <v>67358696</v>
      </c>
      <c r="V15" s="284">
        <f t="shared" si="1"/>
        <v>41334009</v>
      </c>
      <c r="W15" s="284">
        <f t="shared" si="2"/>
        <v>404539</v>
      </c>
    </row>
    <row r="16" spans="1:23" x14ac:dyDescent="0.2">
      <c r="A16" s="282" t="s">
        <v>26</v>
      </c>
      <c r="B16" s="282">
        <v>5001</v>
      </c>
      <c r="C16" s="283">
        <v>239327318</v>
      </c>
      <c r="D16" s="283">
        <v>1346694702</v>
      </c>
      <c r="E16" s="283">
        <v>7482228</v>
      </c>
      <c r="F16" s="283">
        <v>15295618</v>
      </c>
      <c r="G16" s="283">
        <v>909184788</v>
      </c>
      <c r="H16" s="283">
        <v>12866843</v>
      </c>
      <c r="I16" s="283">
        <v>0</v>
      </c>
      <c r="J16" s="283">
        <v>0</v>
      </c>
      <c r="K16" s="283">
        <v>0</v>
      </c>
      <c r="L16" s="283">
        <v>0</v>
      </c>
      <c r="M16" s="283">
        <v>741057</v>
      </c>
      <c r="N16" s="283">
        <v>0</v>
      </c>
      <c r="O16" s="283">
        <v>0</v>
      </c>
      <c r="P16" s="283">
        <v>0</v>
      </c>
      <c r="Q16" s="283">
        <v>0</v>
      </c>
      <c r="R16" s="283">
        <v>0</v>
      </c>
      <c r="S16" s="283">
        <v>0</v>
      </c>
      <c r="T16" s="284">
        <f t="shared" si="0"/>
        <v>239327318</v>
      </c>
      <c r="U16" s="284">
        <f t="shared" si="0"/>
        <v>1346694702</v>
      </c>
      <c r="V16" s="284">
        <f t="shared" si="1"/>
        <v>922792688</v>
      </c>
      <c r="W16" s="284">
        <f t="shared" si="2"/>
        <v>4505116</v>
      </c>
    </row>
    <row r="17" spans="1:23" x14ac:dyDescent="0.2">
      <c r="A17" s="282" t="s">
        <v>49</v>
      </c>
      <c r="B17" s="282">
        <v>5003</v>
      </c>
      <c r="C17" s="283">
        <v>239186644</v>
      </c>
      <c r="D17" s="283">
        <v>72229699</v>
      </c>
      <c r="E17" s="283">
        <v>286500</v>
      </c>
      <c r="F17" s="283">
        <v>1202221</v>
      </c>
      <c r="G17" s="283">
        <v>26311371</v>
      </c>
      <c r="H17" s="283">
        <v>145195292</v>
      </c>
      <c r="I17" s="283">
        <v>0</v>
      </c>
      <c r="J17" s="283">
        <v>0</v>
      </c>
      <c r="K17" s="283">
        <v>0</v>
      </c>
      <c r="L17" s="283">
        <v>0</v>
      </c>
      <c r="M17" s="283">
        <v>0</v>
      </c>
      <c r="N17" s="283">
        <v>0</v>
      </c>
      <c r="O17" s="283">
        <v>1547800</v>
      </c>
      <c r="P17" s="283">
        <v>0</v>
      </c>
      <c r="Q17" s="283">
        <v>0</v>
      </c>
      <c r="R17" s="283">
        <v>1478500</v>
      </c>
      <c r="S17" s="283">
        <v>0</v>
      </c>
      <c r="T17" s="284">
        <f t="shared" si="0"/>
        <v>239186644</v>
      </c>
      <c r="U17" s="284">
        <f t="shared" si="0"/>
        <v>73777499</v>
      </c>
      <c r="V17" s="284">
        <f t="shared" si="1"/>
        <v>172985163</v>
      </c>
      <c r="W17" s="284">
        <f t="shared" si="2"/>
        <v>721493</v>
      </c>
    </row>
    <row r="18" spans="1:23" x14ac:dyDescent="0.2">
      <c r="A18" s="282" t="s">
        <v>113</v>
      </c>
      <c r="B18" s="282">
        <v>5005</v>
      </c>
      <c r="C18" s="283">
        <v>245811757</v>
      </c>
      <c r="D18" s="283">
        <v>198125343</v>
      </c>
      <c r="E18" s="283">
        <v>1496100</v>
      </c>
      <c r="F18" s="283">
        <v>2390900</v>
      </c>
      <c r="G18" s="283">
        <v>87118600</v>
      </c>
      <c r="H18" s="283">
        <v>2924305</v>
      </c>
      <c r="I18" s="283">
        <v>2907</v>
      </c>
      <c r="J18" s="283">
        <v>0</v>
      </c>
      <c r="K18" s="283">
        <v>0</v>
      </c>
      <c r="L18" s="283">
        <v>0</v>
      </c>
      <c r="M18" s="283">
        <v>198682</v>
      </c>
      <c r="N18" s="283">
        <v>0</v>
      </c>
      <c r="O18" s="283">
        <v>18646900</v>
      </c>
      <c r="P18" s="283">
        <v>0</v>
      </c>
      <c r="Q18" s="283">
        <v>0</v>
      </c>
      <c r="R18" s="283">
        <v>2942800</v>
      </c>
      <c r="S18" s="283">
        <v>0</v>
      </c>
      <c r="T18" s="284">
        <f t="shared" si="0"/>
        <v>245814664</v>
      </c>
      <c r="U18" s="284">
        <f t="shared" si="0"/>
        <v>216772243</v>
      </c>
      <c r="V18" s="284">
        <f t="shared" si="1"/>
        <v>93184387</v>
      </c>
      <c r="W18" s="284">
        <f t="shared" si="2"/>
        <v>695794</v>
      </c>
    </row>
    <row r="19" spans="1:23" x14ac:dyDescent="0.2">
      <c r="A19" s="282" t="s">
        <v>39</v>
      </c>
      <c r="B19" s="282">
        <v>5006</v>
      </c>
      <c r="C19" s="283">
        <v>334570438</v>
      </c>
      <c r="D19" s="283">
        <v>119166631</v>
      </c>
      <c r="E19" s="283">
        <v>1131917</v>
      </c>
      <c r="F19" s="283">
        <v>2007680</v>
      </c>
      <c r="G19" s="283">
        <v>50099276</v>
      </c>
      <c r="H19" s="283">
        <v>50976761</v>
      </c>
      <c r="I19" s="283">
        <v>2</v>
      </c>
      <c r="J19" s="283">
        <v>0</v>
      </c>
      <c r="K19" s="283">
        <v>0</v>
      </c>
      <c r="L19" s="283">
        <v>0</v>
      </c>
      <c r="M19" s="283">
        <v>0</v>
      </c>
      <c r="N19" s="283">
        <v>0</v>
      </c>
      <c r="O19" s="283">
        <v>0</v>
      </c>
      <c r="P19" s="283">
        <v>0</v>
      </c>
      <c r="Q19" s="283">
        <v>0</v>
      </c>
      <c r="R19" s="283">
        <v>0</v>
      </c>
      <c r="S19" s="283">
        <v>0</v>
      </c>
      <c r="T19" s="284">
        <f t="shared" si="0"/>
        <v>334570440</v>
      </c>
      <c r="U19" s="284">
        <f t="shared" si="0"/>
        <v>119166631</v>
      </c>
      <c r="V19" s="284">
        <f t="shared" si="1"/>
        <v>101076037</v>
      </c>
      <c r="W19" s="284">
        <f t="shared" si="2"/>
        <v>640047</v>
      </c>
    </row>
    <row r="20" spans="1:23" x14ac:dyDescent="0.2">
      <c r="A20" s="282" t="s">
        <v>10</v>
      </c>
      <c r="B20" s="282">
        <v>6001</v>
      </c>
      <c r="C20" s="283">
        <v>408071668</v>
      </c>
      <c r="D20" s="283">
        <v>1853962058</v>
      </c>
      <c r="E20" s="283">
        <v>3441216</v>
      </c>
      <c r="F20" s="283">
        <v>10165205</v>
      </c>
      <c r="G20" s="283">
        <v>881351924</v>
      </c>
      <c r="H20" s="283">
        <v>79033367</v>
      </c>
      <c r="I20" s="283">
        <v>0</v>
      </c>
      <c r="J20" s="283">
        <v>0</v>
      </c>
      <c r="K20" s="283">
        <v>0</v>
      </c>
      <c r="L20" s="283">
        <v>0</v>
      </c>
      <c r="M20" s="283">
        <v>75791998</v>
      </c>
      <c r="N20" s="283">
        <v>0</v>
      </c>
      <c r="O20" s="283">
        <v>115950320</v>
      </c>
      <c r="P20" s="283">
        <v>0</v>
      </c>
      <c r="Q20" s="283">
        <v>0</v>
      </c>
      <c r="R20" s="283">
        <v>41712832</v>
      </c>
      <c r="S20" s="283">
        <v>0</v>
      </c>
      <c r="T20" s="284">
        <f t="shared" si="0"/>
        <v>408071668</v>
      </c>
      <c r="U20" s="284">
        <f t="shared" si="0"/>
        <v>1969912378</v>
      </c>
      <c r="V20" s="284">
        <f t="shared" si="1"/>
        <v>1077890121</v>
      </c>
      <c r="W20" s="284">
        <f t="shared" si="2"/>
        <v>5870840</v>
      </c>
    </row>
    <row r="21" spans="1:23" x14ac:dyDescent="0.2">
      <c r="A21" s="282" t="s">
        <v>56</v>
      </c>
      <c r="B21" s="282">
        <v>6002</v>
      </c>
      <c r="C21" s="283">
        <v>338630552</v>
      </c>
      <c r="D21" s="283">
        <v>37739282</v>
      </c>
      <c r="E21" s="283">
        <v>255259</v>
      </c>
      <c r="F21" s="283">
        <v>955022</v>
      </c>
      <c r="G21" s="283">
        <v>17391231</v>
      </c>
      <c r="H21" s="283">
        <v>9301790</v>
      </c>
      <c r="I21" s="283">
        <v>1</v>
      </c>
      <c r="J21" s="283">
        <v>0</v>
      </c>
      <c r="K21" s="283">
        <v>0</v>
      </c>
      <c r="L21" s="283">
        <v>0</v>
      </c>
      <c r="M21" s="283">
        <v>0</v>
      </c>
      <c r="N21" s="283">
        <v>0</v>
      </c>
      <c r="O21" s="283">
        <v>0</v>
      </c>
      <c r="P21" s="283">
        <v>0</v>
      </c>
      <c r="Q21" s="283">
        <v>0</v>
      </c>
      <c r="R21" s="283">
        <v>0</v>
      </c>
      <c r="S21" s="283">
        <v>0</v>
      </c>
      <c r="T21" s="284">
        <f t="shared" si="0"/>
        <v>338630553</v>
      </c>
      <c r="U21" s="284">
        <f t="shared" si="0"/>
        <v>37739282</v>
      </c>
      <c r="V21" s="284">
        <f t="shared" si="1"/>
        <v>26693021</v>
      </c>
      <c r="W21" s="284">
        <f t="shared" si="2"/>
        <v>327215</v>
      </c>
    </row>
    <row r="22" spans="1:23" x14ac:dyDescent="0.2">
      <c r="A22" s="282" t="s">
        <v>126</v>
      </c>
      <c r="B22" s="282">
        <v>6005</v>
      </c>
      <c r="C22" s="283">
        <v>225315755</v>
      </c>
      <c r="D22" s="283">
        <v>73051151</v>
      </c>
      <c r="E22" s="283">
        <v>337931</v>
      </c>
      <c r="F22" s="283">
        <v>597599</v>
      </c>
      <c r="G22" s="283">
        <v>12985570</v>
      </c>
      <c r="H22" s="283">
        <v>5854769</v>
      </c>
      <c r="I22" s="283">
        <v>0</v>
      </c>
      <c r="J22" s="283">
        <v>0</v>
      </c>
      <c r="K22" s="283">
        <v>0</v>
      </c>
      <c r="L22" s="283">
        <v>0</v>
      </c>
      <c r="M22" s="283">
        <v>0</v>
      </c>
      <c r="N22" s="283">
        <v>0</v>
      </c>
      <c r="O22" s="283">
        <v>0</v>
      </c>
      <c r="P22" s="283">
        <v>0</v>
      </c>
      <c r="Q22" s="283">
        <v>0</v>
      </c>
      <c r="R22" s="283">
        <v>0</v>
      </c>
      <c r="S22" s="283">
        <v>0</v>
      </c>
      <c r="T22" s="284">
        <f t="shared" si="0"/>
        <v>225315755</v>
      </c>
      <c r="U22" s="284">
        <f t="shared" si="0"/>
        <v>73051151</v>
      </c>
      <c r="V22" s="284">
        <f t="shared" si="1"/>
        <v>18840339</v>
      </c>
      <c r="W22" s="284">
        <f t="shared" si="2"/>
        <v>284929</v>
      </c>
    </row>
    <row r="23" spans="1:23" x14ac:dyDescent="0.2">
      <c r="A23" s="282" t="s">
        <v>62</v>
      </c>
      <c r="B23" s="282">
        <v>6006</v>
      </c>
      <c r="C23" s="283">
        <v>995086080</v>
      </c>
      <c r="D23" s="283">
        <v>170719379</v>
      </c>
      <c r="E23" s="283">
        <v>1201689</v>
      </c>
      <c r="F23" s="283">
        <v>3478591</v>
      </c>
      <c r="G23" s="283">
        <v>69339043</v>
      </c>
      <c r="H23" s="283">
        <v>132685310</v>
      </c>
      <c r="I23" s="283">
        <v>2</v>
      </c>
      <c r="J23" s="283">
        <v>0</v>
      </c>
      <c r="K23" s="283">
        <v>0</v>
      </c>
      <c r="L23" s="283">
        <v>0</v>
      </c>
      <c r="M23" s="283">
        <v>0</v>
      </c>
      <c r="N23" s="283">
        <v>0</v>
      </c>
      <c r="O23" s="283">
        <v>0</v>
      </c>
      <c r="P23" s="283">
        <v>0</v>
      </c>
      <c r="Q23" s="283">
        <v>0</v>
      </c>
      <c r="R23" s="283">
        <v>0</v>
      </c>
      <c r="S23" s="283">
        <v>0</v>
      </c>
      <c r="T23" s="284">
        <f t="shared" si="0"/>
        <v>995086082</v>
      </c>
      <c r="U23" s="284">
        <f t="shared" si="0"/>
        <v>170719379</v>
      </c>
      <c r="V23" s="284">
        <f t="shared" si="1"/>
        <v>202024353</v>
      </c>
      <c r="W23" s="284">
        <f t="shared" si="2"/>
        <v>1384249</v>
      </c>
    </row>
    <row r="24" spans="1:23" x14ac:dyDescent="0.2">
      <c r="A24" s="282" t="s">
        <v>32</v>
      </c>
      <c r="B24" s="282">
        <v>7001</v>
      </c>
      <c r="C24" s="283">
        <v>500716780</v>
      </c>
      <c r="D24" s="283">
        <v>199328789</v>
      </c>
      <c r="E24" s="283">
        <v>3485857</v>
      </c>
      <c r="F24" s="283">
        <v>7031062</v>
      </c>
      <c r="G24" s="283">
        <v>157254967</v>
      </c>
      <c r="H24" s="283">
        <v>5515074</v>
      </c>
      <c r="I24" s="283">
        <v>47723</v>
      </c>
      <c r="J24" s="283">
        <v>0</v>
      </c>
      <c r="K24" s="283">
        <v>0</v>
      </c>
      <c r="L24" s="283">
        <v>0</v>
      </c>
      <c r="M24" s="283">
        <v>33703</v>
      </c>
      <c r="N24" s="283">
        <v>0</v>
      </c>
      <c r="O24" s="283">
        <v>0</v>
      </c>
      <c r="P24" s="283">
        <v>0</v>
      </c>
      <c r="Q24" s="283">
        <v>0</v>
      </c>
      <c r="R24" s="283">
        <v>0</v>
      </c>
      <c r="S24" s="283">
        <v>0</v>
      </c>
      <c r="T24" s="284">
        <f t="shared" si="0"/>
        <v>500764503</v>
      </c>
      <c r="U24" s="284">
        <f t="shared" si="0"/>
        <v>199328789</v>
      </c>
      <c r="V24" s="284">
        <f t="shared" si="1"/>
        <v>162803744</v>
      </c>
      <c r="W24" s="284">
        <f t="shared" si="2"/>
        <v>1018000</v>
      </c>
    </row>
    <row r="25" spans="1:23" x14ac:dyDescent="0.2">
      <c r="A25" s="282" t="s">
        <v>79</v>
      </c>
      <c r="B25" s="282">
        <v>7002</v>
      </c>
      <c r="C25" s="283">
        <v>489548650</v>
      </c>
      <c r="D25" s="283">
        <v>45851185</v>
      </c>
      <c r="E25" s="283">
        <v>649706</v>
      </c>
      <c r="F25" s="283">
        <v>1765634</v>
      </c>
      <c r="G25" s="283">
        <v>36721896</v>
      </c>
      <c r="H25" s="283">
        <v>1719593</v>
      </c>
      <c r="I25" s="283">
        <v>232461</v>
      </c>
      <c r="J25" s="283">
        <v>0</v>
      </c>
      <c r="K25" s="283">
        <v>0</v>
      </c>
      <c r="L25" s="283">
        <v>0</v>
      </c>
      <c r="M25" s="283">
        <v>37863</v>
      </c>
      <c r="N25" s="283">
        <v>0</v>
      </c>
      <c r="O25" s="283">
        <v>0</v>
      </c>
      <c r="P25" s="283">
        <v>0</v>
      </c>
      <c r="Q25" s="283">
        <v>0</v>
      </c>
      <c r="R25" s="283">
        <v>0</v>
      </c>
      <c r="S25" s="283">
        <v>0</v>
      </c>
      <c r="T25" s="284">
        <f t="shared" si="0"/>
        <v>489781111</v>
      </c>
      <c r="U25" s="284">
        <f t="shared" si="0"/>
        <v>45851185</v>
      </c>
      <c r="V25" s="284">
        <f t="shared" si="1"/>
        <v>38479352</v>
      </c>
      <c r="W25" s="284">
        <f t="shared" si="2"/>
        <v>461216</v>
      </c>
    </row>
    <row r="26" spans="1:23" x14ac:dyDescent="0.2">
      <c r="A26" s="282" t="s">
        <v>16</v>
      </c>
      <c r="B26" s="282">
        <v>9001</v>
      </c>
      <c r="C26" s="283">
        <v>98134907</v>
      </c>
      <c r="D26" s="283">
        <v>571900486</v>
      </c>
      <c r="E26" s="283">
        <v>9320228</v>
      </c>
      <c r="F26" s="283">
        <v>36897708</v>
      </c>
      <c r="G26" s="283">
        <v>253837905</v>
      </c>
      <c r="H26" s="283">
        <v>22408835</v>
      </c>
      <c r="I26" s="283">
        <v>585892</v>
      </c>
      <c r="J26" s="283">
        <v>608629</v>
      </c>
      <c r="K26" s="283">
        <v>0</v>
      </c>
      <c r="L26" s="283">
        <v>0</v>
      </c>
      <c r="M26" s="283">
        <v>5216053</v>
      </c>
      <c r="N26" s="283">
        <v>0</v>
      </c>
      <c r="O26" s="283">
        <v>0</v>
      </c>
      <c r="P26" s="283">
        <v>0</v>
      </c>
      <c r="Q26" s="283">
        <v>0</v>
      </c>
      <c r="R26" s="283">
        <v>0</v>
      </c>
      <c r="S26" s="283">
        <v>0</v>
      </c>
      <c r="T26" s="284">
        <f t="shared" si="0"/>
        <v>98720799</v>
      </c>
      <c r="U26" s="284">
        <f t="shared" si="0"/>
        <v>572509115</v>
      </c>
      <c r="V26" s="284">
        <f t="shared" si="1"/>
        <v>281462793</v>
      </c>
      <c r="W26" s="284">
        <f t="shared" si="2"/>
        <v>1606175</v>
      </c>
    </row>
    <row r="27" spans="1:23" x14ac:dyDescent="0.2">
      <c r="A27" s="282" t="s">
        <v>99</v>
      </c>
      <c r="B27" s="282">
        <v>9002</v>
      </c>
      <c r="C27" s="283">
        <v>214577959</v>
      </c>
      <c r="D27" s="283">
        <v>95364314</v>
      </c>
      <c r="E27" s="283">
        <v>4139935</v>
      </c>
      <c r="F27" s="283">
        <v>18317785</v>
      </c>
      <c r="G27" s="283">
        <v>59206536</v>
      </c>
      <c r="H27" s="283">
        <v>4085813</v>
      </c>
      <c r="I27" s="283">
        <v>389024</v>
      </c>
      <c r="J27" s="283">
        <v>0</v>
      </c>
      <c r="K27" s="283">
        <v>0</v>
      </c>
      <c r="L27" s="283">
        <v>0</v>
      </c>
      <c r="M27" s="283">
        <v>965989</v>
      </c>
      <c r="N27" s="283">
        <v>0</v>
      </c>
      <c r="O27" s="283">
        <v>0</v>
      </c>
      <c r="P27" s="283">
        <v>0</v>
      </c>
      <c r="Q27" s="283">
        <v>0</v>
      </c>
      <c r="R27" s="283">
        <v>0</v>
      </c>
      <c r="S27" s="283">
        <v>0</v>
      </c>
      <c r="T27" s="284">
        <f t="shared" si="0"/>
        <v>214966983</v>
      </c>
      <c r="U27" s="284">
        <f t="shared" si="0"/>
        <v>95364314</v>
      </c>
      <c r="V27" s="284">
        <f t="shared" si="1"/>
        <v>64258338</v>
      </c>
      <c r="W27" s="284">
        <f t="shared" si="2"/>
        <v>434522</v>
      </c>
    </row>
    <row r="28" spans="1:23" x14ac:dyDescent="0.2">
      <c r="A28" s="282" t="s">
        <v>69</v>
      </c>
      <c r="B28" s="282">
        <v>10001</v>
      </c>
      <c r="C28" s="283">
        <v>235269676</v>
      </c>
      <c r="D28" s="283">
        <v>20128885</v>
      </c>
      <c r="E28" s="283">
        <v>452692</v>
      </c>
      <c r="F28" s="283">
        <v>2386670</v>
      </c>
      <c r="G28" s="283">
        <v>25364756</v>
      </c>
      <c r="H28" s="283">
        <v>21176040</v>
      </c>
      <c r="I28" s="283">
        <v>1</v>
      </c>
      <c r="J28" s="283">
        <v>0</v>
      </c>
      <c r="K28" s="283">
        <v>0</v>
      </c>
      <c r="L28" s="283">
        <v>0</v>
      </c>
      <c r="M28" s="283">
        <v>0</v>
      </c>
      <c r="N28" s="283">
        <v>0</v>
      </c>
      <c r="O28" s="283">
        <v>0</v>
      </c>
      <c r="P28" s="283">
        <v>0</v>
      </c>
      <c r="Q28" s="283">
        <v>0</v>
      </c>
      <c r="R28" s="283">
        <v>0</v>
      </c>
      <c r="S28" s="283">
        <v>0</v>
      </c>
      <c r="T28" s="284">
        <f t="shared" si="0"/>
        <v>235269677</v>
      </c>
      <c r="U28" s="284">
        <f t="shared" si="0"/>
        <v>20128885</v>
      </c>
      <c r="V28" s="284">
        <f t="shared" si="1"/>
        <v>46540796</v>
      </c>
      <c r="W28" s="284">
        <f t="shared" si="2"/>
        <v>296783</v>
      </c>
    </row>
    <row r="29" spans="1:23" x14ac:dyDescent="0.2">
      <c r="A29" s="282" t="s">
        <v>11</v>
      </c>
      <c r="B29" s="282">
        <v>11001</v>
      </c>
      <c r="C29" s="283">
        <v>158911693</v>
      </c>
      <c r="D29" s="283">
        <v>64431044</v>
      </c>
      <c r="E29" s="283">
        <v>5063140</v>
      </c>
      <c r="F29" s="283">
        <v>1711638</v>
      </c>
      <c r="G29" s="283">
        <v>101164487</v>
      </c>
      <c r="H29" s="283">
        <v>989577</v>
      </c>
      <c r="I29" s="283">
        <v>0</v>
      </c>
      <c r="J29" s="283">
        <v>0</v>
      </c>
      <c r="K29" s="283">
        <v>0</v>
      </c>
      <c r="L29" s="283">
        <v>0</v>
      </c>
      <c r="M29" s="283">
        <v>1</v>
      </c>
      <c r="N29" s="283">
        <v>0</v>
      </c>
      <c r="O29" s="283">
        <v>0</v>
      </c>
      <c r="P29" s="283">
        <v>0</v>
      </c>
      <c r="Q29" s="283">
        <v>0</v>
      </c>
      <c r="R29" s="283">
        <v>0</v>
      </c>
      <c r="S29" s="283">
        <v>0</v>
      </c>
      <c r="T29" s="284">
        <f t="shared" si="0"/>
        <v>158911693</v>
      </c>
      <c r="U29" s="284">
        <f t="shared" si="0"/>
        <v>64431044</v>
      </c>
      <c r="V29" s="284">
        <f t="shared" si="1"/>
        <v>102154065</v>
      </c>
      <c r="W29" s="284">
        <f t="shared" si="2"/>
        <v>464585</v>
      </c>
    </row>
    <row r="30" spans="1:23" x14ac:dyDescent="0.2">
      <c r="A30" s="282" t="s">
        <v>124</v>
      </c>
      <c r="B30" s="282">
        <v>11004</v>
      </c>
      <c r="C30" s="283">
        <v>325879439</v>
      </c>
      <c r="D30" s="283">
        <v>83808236</v>
      </c>
      <c r="E30" s="283">
        <v>1033153</v>
      </c>
      <c r="F30" s="283">
        <v>1740067</v>
      </c>
      <c r="G30" s="283">
        <v>50858096</v>
      </c>
      <c r="H30" s="283">
        <v>2156629</v>
      </c>
      <c r="I30" s="283">
        <v>0</v>
      </c>
      <c r="J30" s="283">
        <v>0</v>
      </c>
      <c r="K30" s="283">
        <v>0</v>
      </c>
      <c r="L30" s="283">
        <v>0</v>
      </c>
      <c r="M30" s="283">
        <v>0</v>
      </c>
      <c r="N30" s="283">
        <v>0</v>
      </c>
      <c r="O30" s="283">
        <v>0</v>
      </c>
      <c r="P30" s="283">
        <v>0</v>
      </c>
      <c r="Q30" s="283">
        <v>0</v>
      </c>
      <c r="R30" s="283">
        <v>0</v>
      </c>
      <c r="S30" s="283">
        <v>0</v>
      </c>
      <c r="T30" s="284">
        <f t="shared" si="0"/>
        <v>325879439</v>
      </c>
      <c r="U30" s="284">
        <f t="shared" si="0"/>
        <v>83808236</v>
      </c>
      <c r="V30" s="284">
        <f t="shared" si="1"/>
        <v>53014725</v>
      </c>
      <c r="W30" s="284">
        <f t="shared" si="2"/>
        <v>454257</v>
      </c>
    </row>
    <row r="31" spans="1:23" x14ac:dyDescent="0.2">
      <c r="A31" s="282" t="s">
        <v>472</v>
      </c>
      <c r="B31" s="282">
        <v>11005</v>
      </c>
      <c r="C31" s="283">
        <v>630358674</v>
      </c>
      <c r="D31" s="283">
        <v>170461703</v>
      </c>
      <c r="E31" s="283">
        <v>1136667</v>
      </c>
      <c r="F31" s="283">
        <v>2943452</v>
      </c>
      <c r="G31" s="283">
        <v>112437756</v>
      </c>
      <c r="H31" s="283">
        <v>2546173</v>
      </c>
      <c r="I31" s="283">
        <v>61327</v>
      </c>
      <c r="J31" s="283">
        <v>0</v>
      </c>
      <c r="K31" s="283">
        <v>0</v>
      </c>
      <c r="L31" s="283">
        <v>0</v>
      </c>
      <c r="M31" s="283">
        <v>3</v>
      </c>
      <c r="N31" s="283">
        <v>0</v>
      </c>
      <c r="O31" s="283">
        <v>0</v>
      </c>
      <c r="P31" s="283">
        <v>0</v>
      </c>
      <c r="Q31" s="283">
        <v>0</v>
      </c>
      <c r="R31" s="283">
        <v>0</v>
      </c>
      <c r="S31" s="283">
        <v>0</v>
      </c>
      <c r="T31" s="284">
        <f t="shared" si="0"/>
        <v>630420001</v>
      </c>
      <c r="U31" s="284">
        <f t="shared" si="0"/>
        <v>170461703</v>
      </c>
      <c r="V31" s="284">
        <f t="shared" si="1"/>
        <v>114983932</v>
      </c>
      <c r="W31" s="284">
        <f t="shared" si="2"/>
        <v>924375</v>
      </c>
    </row>
    <row r="32" spans="1:23" x14ac:dyDescent="0.2">
      <c r="A32" s="282" t="s">
        <v>34</v>
      </c>
      <c r="B32" s="282">
        <v>12002</v>
      </c>
      <c r="C32" s="283">
        <v>771032279</v>
      </c>
      <c r="D32" s="283">
        <v>132953050</v>
      </c>
      <c r="E32" s="283">
        <v>734977</v>
      </c>
      <c r="F32" s="283">
        <v>3247261</v>
      </c>
      <c r="G32" s="283">
        <v>71991939</v>
      </c>
      <c r="H32" s="283">
        <v>55476264</v>
      </c>
      <c r="I32" s="283">
        <v>0</v>
      </c>
      <c r="J32" s="283">
        <v>0</v>
      </c>
      <c r="K32" s="283">
        <v>0</v>
      </c>
      <c r="L32" s="283">
        <v>0</v>
      </c>
      <c r="M32" s="283">
        <v>0</v>
      </c>
      <c r="N32" s="283">
        <v>0</v>
      </c>
      <c r="O32" s="283">
        <v>535653</v>
      </c>
      <c r="P32" s="283">
        <v>0</v>
      </c>
      <c r="Q32" s="283">
        <v>0</v>
      </c>
      <c r="R32" s="283">
        <v>19241</v>
      </c>
      <c r="S32" s="283">
        <v>0</v>
      </c>
      <c r="T32" s="284">
        <f t="shared" si="0"/>
        <v>771032279</v>
      </c>
      <c r="U32" s="284">
        <f t="shared" si="0"/>
        <v>133488703</v>
      </c>
      <c r="V32" s="284">
        <f t="shared" si="1"/>
        <v>127487444</v>
      </c>
      <c r="W32" s="284">
        <f t="shared" si="2"/>
        <v>993666</v>
      </c>
    </row>
    <row r="33" spans="1:23" x14ac:dyDescent="0.2">
      <c r="A33" s="282" t="s">
        <v>135</v>
      </c>
      <c r="B33" s="282">
        <v>12003</v>
      </c>
      <c r="C33" s="283">
        <v>475564809</v>
      </c>
      <c r="D33" s="283">
        <v>53795535</v>
      </c>
      <c r="E33" s="283">
        <v>750791</v>
      </c>
      <c r="F33" s="283">
        <v>588852</v>
      </c>
      <c r="G33" s="283">
        <v>30242304</v>
      </c>
      <c r="H33" s="283">
        <v>32273574</v>
      </c>
      <c r="I33" s="283">
        <v>0</v>
      </c>
      <c r="J33" s="283">
        <v>0</v>
      </c>
      <c r="K33" s="283">
        <v>0</v>
      </c>
      <c r="L33" s="283">
        <v>0</v>
      </c>
      <c r="M33" s="283">
        <v>0</v>
      </c>
      <c r="N33" s="283">
        <v>0</v>
      </c>
      <c r="O33" s="283">
        <v>0</v>
      </c>
      <c r="P33" s="283">
        <v>0</v>
      </c>
      <c r="Q33" s="283">
        <v>0</v>
      </c>
      <c r="R33" s="283">
        <v>0</v>
      </c>
      <c r="S33" s="283">
        <v>0</v>
      </c>
      <c r="T33" s="284">
        <f t="shared" si="0"/>
        <v>475564809</v>
      </c>
      <c r="U33" s="284">
        <f t="shared" si="0"/>
        <v>53795535</v>
      </c>
      <c r="V33" s="284">
        <f t="shared" si="1"/>
        <v>62515878</v>
      </c>
      <c r="W33" s="284">
        <f t="shared" si="2"/>
        <v>529979</v>
      </c>
    </row>
    <row r="34" spans="1:23" x14ac:dyDescent="0.2">
      <c r="A34" s="282" t="s">
        <v>123</v>
      </c>
      <c r="B34" s="282">
        <v>13001</v>
      </c>
      <c r="C34" s="283">
        <v>251490367</v>
      </c>
      <c r="D34" s="283">
        <v>486908951</v>
      </c>
      <c r="E34" s="283">
        <v>5041679</v>
      </c>
      <c r="F34" s="283">
        <v>4144892</v>
      </c>
      <c r="G34" s="283">
        <v>314091682</v>
      </c>
      <c r="H34" s="283">
        <v>5312854</v>
      </c>
      <c r="I34" s="283">
        <v>3</v>
      </c>
      <c r="J34" s="283">
        <v>0</v>
      </c>
      <c r="K34" s="283">
        <v>0</v>
      </c>
      <c r="L34" s="283">
        <v>0</v>
      </c>
      <c r="M34" s="283">
        <v>3</v>
      </c>
      <c r="N34" s="283">
        <v>0</v>
      </c>
      <c r="O34" s="283">
        <v>0</v>
      </c>
      <c r="P34" s="283">
        <v>0</v>
      </c>
      <c r="Q34" s="283">
        <v>0</v>
      </c>
      <c r="R34" s="283">
        <v>0</v>
      </c>
      <c r="S34" s="283">
        <v>0</v>
      </c>
      <c r="T34" s="284">
        <f t="shared" si="0"/>
        <v>251490370</v>
      </c>
      <c r="U34" s="284">
        <f t="shared" si="0"/>
        <v>486908951</v>
      </c>
      <c r="V34" s="284">
        <f t="shared" si="1"/>
        <v>319404539</v>
      </c>
      <c r="W34" s="284">
        <f t="shared" si="2"/>
        <v>1688121</v>
      </c>
    </row>
    <row r="35" spans="1:23" x14ac:dyDescent="0.2">
      <c r="A35" s="282" t="s">
        <v>473</v>
      </c>
      <c r="B35" s="282">
        <v>13003</v>
      </c>
      <c r="C35" s="283">
        <v>375643428</v>
      </c>
      <c r="D35" s="283">
        <v>93247432</v>
      </c>
      <c r="E35" s="283">
        <v>123401</v>
      </c>
      <c r="F35" s="283">
        <v>1310803</v>
      </c>
      <c r="G35" s="283">
        <v>26637867</v>
      </c>
      <c r="H35" s="283">
        <v>16915318</v>
      </c>
      <c r="I35" s="283">
        <v>0</v>
      </c>
      <c r="J35" s="283">
        <v>193700</v>
      </c>
      <c r="K35" s="283">
        <v>0</v>
      </c>
      <c r="L35" s="283">
        <v>0</v>
      </c>
      <c r="M35" s="283">
        <v>54283</v>
      </c>
      <c r="N35" s="283">
        <v>0</v>
      </c>
      <c r="O35" s="283">
        <v>0</v>
      </c>
      <c r="P35" s="283">
        <v>0</v>
      </c>
      <c r="Q35" s="283">
        <v>0</v>
      </c>
      <c r="R35" s="283">
        <v>0</v>
      </c>
      <c r="S35" s="283">
        <v>0</v>
      </c>
      <c r="T35" s="284">
        <f t="shared" si="0"/>
        <v>375643428</v>
      </c>
      <c r="U35" s="284">
        <f t="shared" si="0"/>
        <v>93441132</v>
      </c>
      <c r="V35" s="284">
        <f t="shared" si="1"/>
        <v>43607468</v>
      </c>
      <c r="W35" s="284">
        <f t="shared" si="2"/>
        <v>470867</v>
      </c>
    </row>
    <row r="36" spans="1:23" x14ac:dyDescent="0.2">
      <c r="A36" s="282" t="s">
        <v>55</v>
      </c>
      <c r="B36" s="282">
        <v>14001</v>
      </c>
      <c r="C36" s="283">
        <v>142884459</v>
      </c>
      <c r="D36" s="283">
        <v>43717851</v>
      </c>
      <c r="E36" s="283">
        <v>262406</v>
      </c>
      <c r="F36" s="283">
        <v>1670041</v>
      </c>
      <c r="G36" s="283">
        <v>6528793</v>
      </c>
      <c r="H36" s="283">
        <v>251471</v>
      </c>
      <c r="I36" s="283">
        <v>196442</v>
      </c>
      <c r="J36" s="283">
        <v>0</v>
      </c>
      <c r="K36" s="283">
        <v>0</v>
      </c>
      <c r="L36" s="283">
        <v>0</v>
      </c>
      <c r="M36" s="283">
        <v>243162</v>
      </c>
      <c r="N36" s="283">
        <v>0</v>
      </c>
      <c r="O36" s="283">
        <v>0</v>
      </c>
      <c r="P36" s="283">
        <v>0</v>
      </c>
      <c r="Q36" s="283">
        <v>0</v>
      </c>
      <c r="R36" s="283">
        <v>0</v>
      </c>
      <c r="S36" s="283">
        <v>0</v>
      </c>
      <c r="T36" s="284">
        <f t="shared" si="0"/>
        <v>143080901</v>
      </c>
      <c r="U36" s="284">
        <f t="shared" si="0"/>
        <v>43717851</v>
      </c>
      <c r="V36" s="284">
        <f t="shared" si="1"/>
        <v>7023426</v>
      </c>
      <c r="W36" s="284">
        <f t="shared" si="2"/>
        <v>163663</v>
      </c>
    </row>
    <row r="37" spans="1:23" x14ac:dyDescent="0.2">
      <c r="A37" s="282" t="s">
        <v>68</v>
      </c>
      <c r="B37" s="282">
        <v>14002</v>
      </c>
      <c r="C37" s="283">
        <v>115406013</v>
      </c>
      <c r="D37" s="283">
        <v>21441313</v>
      </c>
      <c r="E37" s="283">
        <v>137722</v>
      </c>
      <c r="F37" s="283">
        <v>1467950</v>
      </c>
      <c r="G37" s="283">
        <v>6232498</v>
      </c>
      <c r="H37" s="283">
        <v>4553140</v>
      </c>
      <c r="I37" s="283">
        <v>148294</v>
      </c>
      <c r="J37" s="283">
        <v>0</v>
      </c>
      <c r="K37" s="283">
        <v>0</v>
      </c>
      <c r="L37" s="283">
        <v>0</v>
      </c>
      <c r="M37" s="283">
        <v>166829</v>
      </c>
      <c r="N37" s="283">
        <v>0</v>
      </c>
      <c r="O37" s="283">
        <v>0</v>
      </c>
      <c r="P37" s="283">
        <v>0</v>
      </c>
      <c r="Q37" s="283">
        <v>0</v>
      </c>
      <c r="R37" s="283">
        <v>0</v>
      </c>
      <c r="S37" s="283">
        <v>0</v>
      </c>
      <c r="T37" s="284">
        <f t="shared" si="0"/>
        <v>115554307</v>
      </c>
      <c r="U37" s="284">
        <f t="shared" si="0"/>
        <v>21441313</v>
      </c>
      <c r="V37" s="284">
        <f t="shared" si="1"/>
        <v>10952467</v>
      </c>
      <c r="W37" s="284">
        <f t="shared" si="2"/>
        <v>128240</v>
      </c>
    </row>
    <row r="38" spans="1:23" x14ac:dyDescent="0.2">
      <c r="A38" s="282" t="s">
        <v>127</v>
      </c>
      <c r="B38" s="282">
        <v>14004</v>
      </c>
      <c r="C38" s="283">
        <v>363457629</v>
      </c>
      <c r="D38" s="283">
        <v>2029075883</v>
      </c>
      <c r="E38" s="283">
        <v>6696044</v>
      </c>
      <c r="F38" s="283">
        <v>13178034</v>
      </c>
      <c r="G38" s="283">
        <v>1039575083</v>
      </c>
      <c r="H38" s="283">
        <v>14332210</v>
      </c>
      <c r="I38" s="283">
        <v>1441562</v>
      </c>
      <c r="J38" s="283">
        <v>0</v>
      </c>
      <c r="K38" s="283">
        <v>0</v>
      </c>
      <c r="L38" s="283">
        <v>0</v>
      </c>
      <c r="M38" s="283">
        <v>54129296</v>
      </c>
      <c r="N38" s="283">
        <v>0</v>
      </c>
      <c r="O38" s="283">
        <v>0</v>
      </c>
      <c r="P38" s="283">
        <v>0</v>
      </c>
      <c r="Q38" s="283">
        <v>0</v>
      </c>
      <c r="R38" s="283">
        <v>4300039</v>
      </c>
      <c r="S38" s="283">
        <v>0</v>
      </c>
      <c r="T38" s="284">
        <f t="shared" si="0"/>
        <v>364899191</v>
      </c>
      <c r="U38" s="284">
        <f t="shared" si="0"/>
        <v>2029075883</v>
      </c>
      <c r="V38" s="284">
        <f t="shared" si="1"/>
        <v>1112336628</v>
      </c>
      <c r="W38" s="284">
        <f t="shared" si="2"/>
        <v>6019736</v>
      </c>
    </row>
    <row r="39" spans="1:23" x14ac:dyDescent="0.2">
      <c r="A39" s="282" t="s">
        <v>129</v>
      </c>
      <c r="B39" s="282">
        <v>14005</v>
      </c>
      <c r="C39" s="283">
        <v>265826138</v>
      </c>
      <c r="D39" s="283">
        <v>55431276</v>
      </c>
      <c r="E39" s="283">
        <v>151471</v>
      </c>
      <c r="F39" s="283">
        <v>1191032</v>
      </c>
      <c r="G39" s="283">
        <v>10111585</v>
      </c>
      <c r="H39" s="283">
        <v>4220375</v>
      </c>
      <c r="I39" s="283">
        <v>221275</v>
      </c>
      <c r="J39" s="283">
        <v>0</v>
      </c>
      <c r="K39" s="283">
        <v>0</v>
      </c>
      <c r="L39" s="283">
        <v>0</v>
      </c>
      <c r="M39" s="283">
        <v>0</v>
      </c>
      <c r="N39" s="283">
        <v>0</v>
      </c>
      <c r="O39" s="283">
        <v>0</v>
      </c>
      <c r="P39" s="283">
        <v>0</v>
      </c>
      <c r="Q39" s="283">
        <v>0</v>
      </c>
      <c r="R39" s="283">
        <v>0</v>
      </c>
      <c r="S39" s="283">
        <v>0</v>
      </c>
      <c r="T39" s="284">
        <f t="shared" si="0"/>
        <v>266047413</v>
      </c>
      <c r="U39" s="284">
        <f t="shared" si="0"/>
        <v>55431276</v>
      </c>
      <c r="V39" s="284">
        <f t="shared" si="1"/>
        <v>14331960</v>
      </c>
      <c r="W39" s="284">
        <f t="shared" si="2"/>
        <v>273208</v>
      </c>
    </row>
    <row r="40" spans="1:23" x14ac:dyDescent="0.2">
      <c r="A40" s="282" t="s">
        <v>89</v>
      </c>
      <c r="B40" s="282">
        <v>15001</v>
      </c>
      <c r="C40" s="283">
        <v>190004913</v>
      </c>
      <c r="D40" s="283">
        <v>4908076</v>
      </c>
      <c r="E40" s="283">
        <v>223460</v>
      </c>
      <c r="F40" s="283">
        <v>1559108</v>
      </c>
      <c r="G40" s="283">
        <v>4029923</v>
      </c>
      <c r="H40" s="283">
        <v>15639073</v>
      </c>
      <c r="I40" s="283">
        <v>0</v>
      </c>
      <c r="J40" s="283">
        <v>0</v>
      </c>
      <c r="K40" s="283">
        <v>0</v>
      </c>
      <c r="L40" s="283">
        <v>0</v>
      </c>
      <c r="M40" s="283">
        <v>0</v>
      </c>
      <c r="N40" s="283">
        <v>0</v>
      </c>
      <c r="O40" s="283">
        <v>0</v>
      </c>
      <c r="P40" s="283">
        <v>0</v>
      </c>
      <c r="Q40" s="283">
        <v>0</v>
      </c>
      <c r="R40" s="283">
        <v>0</v>
      </c>
      <c r="S40" s="283">
        <v>0</v>
      </c>
      <c r="T40" s="284">
        <f t="shared" si="0"/>
        <v>190004913</v>
      </c>
      <c r="U40" s="284">
        <f t="shared" si="0"/>
        <v>4908076</v>
      </c>
      <c r="V40" s="284">
        <f t="shared" si="1"/>
        <v>19668996</v>
      </c>
      <c r="W40" s="284">
        <f t="shared" si="2"/>
        <v>174815</v>
      </c>
    </row>
    <row r="41" spans="1:23" x14ac:dyDescent="0.2">
      <c r="A41" s="282" t="s">
        <v>90</v>
      </c>
      <c r="B41" s="282">
        <v>15002</v>
      </c>
      <c r="C41" s="283">
        <v>189107870</v>
      </c>
      <c r="D41" s="283">
        <v>7267225</v>
      </c>
      <c r="E41" s="283">
        <v>652657</v>
      </c>
      <c r="F41" s="283">
        <v>1457521</v>
      </c>
      <c r="G41" s="283">
        <v>20693209</v>
      </c>
      <c r="H41" s="283">
        <v>12435943</v>
      </c>
      <c r="I41" s="283">
        <v>0</v>
      </c>
      <c r="J41" s="283">
        <v>0</v>
      </c>
      <c r="K41" s="283">
        <v>0</v>
      </c>
      <c r="L41" s="283">
        <v>0</v>
      </c>
      <c r="M41" s="283">
        <v>0</v>
      </c>
      <c r="N41" s="283">
        <v>0</v>
      </c>
      <c r="O41" s="283">
        <v>0</v>
      </c>
      <c r="P41" s="283">
        <v>0</v>
      </c>
      <c r="Q41" s="283">
        <v>0</v>
      </c>
      <c r="R41" s="283">
        <v>0</v>
      </c>
      <c r="S41" s="283">
        <v>0</v>
      </c>
      <c r="T41" s="284">
        <f t="shared" si="0"/>
        <v>189107870</v>
      </c>
      <c r="U41" s="284">
        <f t="shared" si="0"/>
        <v>7267225</v>
      </c>
      <c r="V41" s="284">
        <f t="shared" si="1"/>
        <v>33129152</v>
      </c>
      <c r="W41" s="284">
        <f t="shared" si="2"/>
        <v>214750</v>
      </c>
    </row>
    <row r="42" spans="1:23" x14ac:dyDescent="0.2">
      <c r="A42" s="282" t="s">
        <v>114</v>
      </c>
      <c r="B42" s="282">
        <v>15003</v>
      </c>
      <c r="C42" s="283">
        <v>14179181</v>
      </c>
      <c r="D42" s="283">
        <v>166777</v>
      </c>
      <c r="E42" s="283">
        <v>43854</v>
      </c>
      <c r="F42" s="283">
        <v>119643</v>
      </c>
      <c r="G42" s="283">
        <v>380152</v>
      </c>
      <c r="H42" s="283">
        <v>6968978</v>
      </c>
      <c r="I42" s="283">
        <v>0</v>
      </c>
      <c r="J42" s="283">
        <v>0</v>
      </c>
      <c r="K42" s="283">
        <v>0</v>
      </c>
      <c r="L42" s="283">
        <v>0</v>
      </c>
      <c r="M42" s="283">
        <v>0</v>
      </c>
      <c r="N42" s="283">
        <v>0</v>
      </c>
      <c r="O42" s="283">
        <v>0</v>
      </c>
      <c r="P42" s="283">
        <v>0</v>
      </c>
      <c r="Q42" s="283">
        <v>0</v>
      </c>
      <c r="R42" s="283">
        <v>0</v>
      </c>
      <c r="S42" s="283">
        <v>0</v>
      </c>
      <c r="T42" s="284">
        <f t="shared" si="0"/>
        <v>14179181</v>
      </c>
      <c r="U42" s="284">
        <f t="shared" si="0"/>
        <v>166777</v>
      </c>
      <c r="V42" s="284">
        <f t="shared" si="1"/>
        <v>7349130</v>
      </c>
      <c r="W42" s="284">
        <f t="shared" si="2"/>
        <v>29081</v>
      </c>
    </row>
    <row r="43" spans="1:23" x14ac:dyDescent="0.2">
      <c r="A43" s="282" t="s">
        <v>35</v>
      </c>
      <c r="B43" s="282">
        <v>16001</v>
      </c>
      <c r="C43" s="283">
        <v>176085341</v>
      </c>
      <c r="D43" s="283">
        <v>1166453028</v>
      </c>
      <c r="E43" s="283">
        <v>15467253</v>
      </c>
      <c r="F43" s="283">
        <v>47544532</v>
      </c>
      <c r="G43" s="283">
        <v>720382602</v>
      </c>
      <c r="H43" s="283">
        <v>22590969</v>
      </c>
      <c r="I43" s="283">
        <v>0</v>
      </c>
      <c r="J43" s="283">
        <v>0</v>
      </c>
      <c r="K43" s="283">
        <v>0</v>
      </c>
      <c r="L43" s="283">
        <v>0</v>
      </c>
      <c r="M43" s="283">
        <v>190899</v>
      </c>
      <c r="N43" s="283">
        <v>0</v>
      </c>
      <c r="O43" s="283">
        <v>133868</v>
      </c>
      <c r="P43" s="283">
        <v>0</v>
      </c>
      <c r="Q43" s="283">
        <v>0</v>
      </c>
      <c r="R43" s="283">
        <v>10036757</v>
      </c>
      <c r="S43" s="283">
        <v>0</v>
      </c>
      <c r="T43" s="284">
        <f t="shared" si="0"/>
        <v>176085341</v>
      </c>
      <c r="U43" s="284">
        <f t="shared" si="0"/>
        <v>1166586896</v>
      </c>
      <c r="V43" s="284">
        <f t="shared" si="1"/>
        <v>753201227</v>
      </c>
      <c r="W43" s="284">
        <f t="shared" si="2"/>
        <v>3755904</v>
      </c>
    </row>
    <row r="44" spans="1:23" x14ac:dyDescent="0.2">
      <c r="A44" s="282" t="s">
        <v>47</v>
      </c>
      <c r="B44" s="282">
        <v>16002</v>
      </c>
      <c r="C44" s="283">
        <v>18054081</v>
      </c>
      <c r="D44" s="283">
        <v>31384036</v>
      </c>
      <c r="E44" s="283">
        <v>446387</v>
      </c>
      <c r="F44" s="283">
        <v>3180629</v>
      </c>
      <c r="G44" s="283">
        <v>28528490</v>
      </c>
      <c r="H44" s="283">
        <v>11944061</v>
      </c>
      <c r="I44" s="283">
        <v>0</v>
      </c>
      <c r="J44" s="283">
        <v>0</v>
      </c>
      <c r="K44" s="283">
        <v>0</v>
      </c>
      <c r="L44" s="283">
        <v>0</v>
      </c>
      <c r="M44" s="283">
        <v>0</v>
      </c>
      <c r="N44" s="283">
        <v>0</v>
      </c>
      <c r="O44" s="283">
        <v>0</v>
      </c>
      <c r="P44" s="283">
        <v>0</v>
      </c>
      <c r="Q44" s="283">
        <v>0</v>
      </c>
      <c r="R44" s="283">
        <v>0</v>
      </c>
      <c r="S44" s="283">
        <v>0</v>
      </c>
      <c r="T44" s="284">
        <f t="shared" si="0"/>
        <v>18054081</v>
      </c>
      <c r="U44" s="284">
        <f t="shared" si="0"/>
        <v>31384036</v>
      </c>
      <c r="V44" s="284">
        <f t="shared" si="1"/>
        <v>40472551</v>
      </c>
      <c r="W44" s="284">
        <f t="shared" si="2"/>
        <v>165034</v>
      </c>
    </row>
    <row r="45" spans="1:23" x14ac:dyDescent="0.2">
      <c r="A45" s="282" t="s">
        <v>51</v>
      </c>
      <c r="B45" s="282">
        <v>17001</v>
      </c>
      <c r="C45" s="283">
        <v>124370863</v>
      </c>
      <c r="D45" s="283">
        <v>47988827</v>
      </c>
      <c r="E45" s="283">
        <v>295616</v>
      </c>
      <c r="F45" s="283">
        <v>634372</v>
      </c>
      <c r="G45" s="283">
        <v>13213745</v>
      </c>
      <c r="H45" s="283">
        <v>1325930</v>
      </c>
      <c r="I45" s="283">
        <v>3</v>
      </c>
      <c r="J45" s="283">
        <v>0</v>
      </c>
      <c r="K45" s="283">
        <v>0</v>
      </c>
      <c r="L45" s="283">
        <v>0</v>
      </c>
      <c r="M45" s="283">
        <v>0</v>
      </c>
      <c r="N45" s="283">
        <v>0</v>
      </c>
      <c r="O45" s="283">
        <v>0</v>
      </c>
      <c r="P45" s="283">
        <v>0</v>
      </c>
      <c r="Q45" s="283">
        <v>0</v>
      </c>
      <c r="R45" s="283">
        <v>0</v>
      </c>
      <c r="S45" s="283">
        <v>0</v>
      </c>
      <c r="T45" s="284">
        <f t="shared" si="0"/>
        <v>124370866</v>
      </c>
      <c r="U45" s="284">
        <f t="shared" si="0"/>
        <v>47988827</v>
      </c>
      <c r="V45" s="284">
        <f t="shared" si="1"/>
        <v>14539675</v>
      </c>
      <c r="W45" s="284">
        <f t="shared" si="2"/>
        <v>179021</v>
      </c>
    </row>
    <row r="46" spans="1:23" x14ac:dyDescent="0.2">
      <c r="A46" s="282" t="s">
        <v>95</v>
      </c>
      <c r="B46" s="282">
        <v>17002</v>
      </c>
      <c r="C46" s="283">
        <v>278703306</v>
      </c>
      <c r="D46" s="283">
        <v>1202814647</v>
      </c>
      <c r="E46" s="283">
        <v>3195022</v>
      </c>
      <c r="F46" s="283">
        <v>5240209</v>
      </c>
      <c r="G46" s="283">
        <v>782149833</v>
      </c>
      <c r="H46" s="283">
        <v>35065457</v>
      </c>
      <c r="I46" s="283">
        <v>1</v>
      </c>
      <c r="J46" s="283">
        <v>0</v>
      </c>
      <c r="K46" s="283">
        <v>0</v>
      </c>
      <c r="L46" s="283">
        <v>0</v>
      </c>
      <c r="M46" s="283">
        <v>0</v>
      </c>
      <c r="N46" s="283">
        <v>0</v>
      </c>
      <c r="O46" s="283">
        <v>0</v>
      </c>
      <c r="P46" s="283">
        <v>0</v>
      </c>
      <c r="Q46" s="283">
        <v>0</v>
      </c>
      <c r="R46" s="283">
        <v>0</v>
      </c>
      <c r="S46" s="283">
        <v>0</v>
      </c>
      <c r="T46" s="284">
        <f t="shared" si="0"/>
        <v>278703307</v>
      </c>
      <c r="U46" s="284">
        <f t="shared" si="0"/>
        <v>1202814647</v>
      </c>
      <c r="V46" s="284">
        <f t="shared" si="1"/>
        <v>817215290</v>
      </c>
      <c r="W46" s="284">
        <f t="shared" si="2"/>
        <v>4043295</v>
      </c>
    </row>
    <row r="47" spans="1:23" x14ac:dyDescent="0.2">
      <c r="A47" s="282" t="s">
        <v>97</v>
      </c>
      <c r="B47" s="282">
        <v>17003</v>
      </c>
      <c r="C47" s="283">
        <v>204022291</v>
      </c>
      <c r="D47" s="283">
        <v>46632900</v>
      </c>
      <c r="E47" s="283">
        <v>320532</v>
      </c>
      <c r="F47" s="283">
        <v>1067930</v>
      </c>
      <c r="G47" s="283">
        <v>22452411</v>
      </c>
      <c r="H47" s="283">
        <v>1112718</v>
      </c>
      <c r="I47" s="283">
        <v>3</v>
      </c>
      <c r="J47" s="283">
        <v>0</v>
      </c>
      <c r="K47" s="283">
        <v>0</v>
      </c>
      <c r="L47" s="283">
        <v>0</v>
      </c>
      <c r="M47" s="283">
        <v>0</v>
      </c>
      <c r="N47" s="283">
        <v>0</v>
      </c>
      <c r="O47" s="283">
        <v>0</v>
      </c>
      <c r="P47" s="283">
        <v>0</v>
      </c>
      <c r="Q47" s="283">
        <v>0</v>
      </c>
      <c r="R47" s="283">
        <v>0</v>
      </c>
      <c r="S47" s="283">
        <v>0</v>
      </c>
      <c r="T47" s="284">
        <f t="shared" si="0"/>
        <v>204022294</v>
      </c>
      <c r="U47" s="284">
        <f t="shared" si="0"/>
        <v>46632900</v>
      </c>
      <c r="V47" s="284">
        <f t="shared" si="1"/>
        <v>23565129</v>
      </c>
      <c r="W47" s="284">
        <f t="shared" si="2"/>
        <v>249895</v>
      </c>
    </row>
    <row r="48" spans="1:23" x14ac:dyDescent="0.2">
      <c r="A48" s="282" t="s">
        <v>128</v>
      </c>
      <c r="B48" s="282">
        <v>18003</v>
      </c>
      <c r="C48" s="283">
        <v>135420699</v>
      </c>
      <c r="D48" s="283">
        <v>53583603</v>
      </c>
      <c r="E48" s="283">
        <v>829728</v>
      </c>
      <c r="F48" s="283">
        <v>1452653</v>
      </c>
      <c r="G48" s="283">
        <v>52974687</v>
      </c>
      <c r="H48" s="283">
        <v>10328539</v>
      </c>
      <c r="I48" s="283">
        <v>0</v>
      </c>
      <c r="J48" s="283">
        <v>0</v>
      </c>
      <c r="K48" s="283">
        <v>0</v>
      </c>
      <c r="L48" s="283">
        <v>0</v>
      </c>
      <c r="M48" s="283">
        <v>0</v>
      </c>
      <c r="N48" s="283">
        <v>0</v>
      </c>
      <c r="O48" s="283">
        <v>0</v>
      </c>
      <c r="P48" s="283">
        <v>0</v>
      </c>
      <c r="Q48" s="283">
        <v>0</v>
      </c>
      <c r="R48" s="283">
        <v>0</v>
      </c>
      <c r="S48" s="283">
        <v>0</v>
      </c>
      <c r="T48" s="284">
        <f t="shared" si="0"/>
        <v>135420699</v>
      </c>
      <c r="U48" s="284">
        <f t="shared" si="0"/>
        <v>53583603</v>
      </c>
      <c r="V48" s="284">
        <f t="shared" si="1"/>
        <v>63303226</v>
      </c>
      <c r="W48" s="284">
        <f t="shared" si="2"/>
        <v>328301</v>
      </c>
    </row>
    <row r="49" spans="1:23" x14ac:dyDescent="0.2">
      <c r="A49" s="282" t="s">
        <v>130</v>
      </c>
      <c r="B49" s="282">
        <v>18005</v>
      </c>
      <c r="C49" s="283">
        <v>394311032</v>
      </c>
      <c r="D49" s="283">
        <v>238168023</v>
      </c>
      <c r="E49" s="283">
        <v>2302159</v>
      </c>
      <c r="F49" s="283">
        <v>1946898</v>
      </c>
      <c r="G49" s="283">
        <v>199140979</v>
      </c>
      <c r="H49" s="283">
        <v>18377252</v>
      </c>
      <c r="I49" s="283">
        <v>61371</v>
      </c>
      <c r="J49" s="283">
        <v>0</v>
      </c>
      <c r="K49" s="283">
        <v>0</v>
      </c>
      <c r="L49" s="283">
        <v>0</v>
      </c>
      <c r="M49" s="283">
        <v>282220</v>
      </c>
      <c r="N49" s="283">
        <v>0</v>
      </c>
      <c r="O49" s="283">
        <v>0</v>
      </c>
      <c r="P49" s="283">
        <v>0</v>
      </c>
      <c r="Q49" s="283">
        <v>0</v>
      </c>
      <c r="R49" s="283">
        <v>0</v>
      </c>
      <c r="S49" s="283">
        <v>0</v>
      </c>
      <c r="T49" s="284">
        <f t="shared" si="0"/>
        <v>394372403</v>
      </c>
      <c r="U49" s="284">
        <f t="shared" si="0"/>
        <v>238168023</v>
      </c>
      <c r="V49" s="284">
        <f t="shared" si="1"/>
        <v>217800451</v>
      </c>
      <c r="W49" s="284">
        <f t="shared" si="2"/>
        <v>1158801</v>
      </c>
    </row>
    <row r="50" spans="1:23" x14ac:dyDescent="0.2">
      <c r="A50" s="282" t="s">
        <v>40</v>
      </c>
      <c r="B50" s="282">
        <v>19004</v>
      </c>
      <c r="C50" s="283">
        <v>476149676</v>
      </c>
      <c r="D50" s="283">
        <v>213895982</v>
      </c>
      <c r="E50" s="283">
        <v>1824200</v>
      </c>
      <c r="F50" s="283">
        <v>2304406</v>
      </c>
      <c r="G50" s="283">
        <v>130428721</v>
      </c>
      <c r="H50" s="283">
        <v>21597466</v>
      </c>
      <c r="I50" s="283">
        <v>2</v>
      </c>
      <c r="J50" s="283">
        <v>0</v>
      </c>
      <c r="K50" s="283">
        <v>0</v>
      </c>
      <c r="L50" s="283">
        <v>0</v>
      </c>
      <c r="M50" s="283">
        <v>0</v>
      </c>
      <c r="N50" s="283">
        <v>0</v>
      </c>
      <c r="O50" s="283">
        <v>0</v>
      </c>
      <c r="P50" s="283">
        <v>0</v>
      </c>
      <c r="Q50" s="283">
        <v>0</v>
      </c>
      <c r="R50" s="283">
        <v>0</v>
      </c>
      <c r="S50" s="283">
        <v>0</v>
      </c>
      <c r="T50" s="284">
        <f t="shared" si="0"/>
        <v>476149678</v>
      </c>
      <c r="U50" s="284">
        <f t="shared" si="0"/>
        <v>213895982</v>
      </c>
      <c r="V50" s="284">
        <f t="shared" si="1"/>
        <v>152026187</v>
      </c>
      <c r="W50" s="284">
        <f t="shared" si="2"/>
        <v>992906</v>
      </c>
    </row>
    <row r="51" spans="1:23" x14ac:dyDescent="0.2">
      <c r="A51" s="282" t="s">
        <v>44</v>
      </c>
      <c r="B51" s="282">
        <v>20001</v>
      </c>
      <c r="C51" s="283">
        <v>172981938</v>
      </c>
      <c r="D51" s="283">
        <v>10106005</v>
      </c>
      <c r="E51" s="283">
        <v>407504</v>
      </c>
      <c r="F51" s="283">
        <v>1392637</v>
      </c>
      <c r="G51" s="283">
        <v>33219433</v>
      </c>
      <c r="H51" s="283">
        <v>1806</v>
      </c>
      <c r="I51" s="283">
        <v>0</v>
      </c>
      <c r="J51" s="283">
        <v>0</v>
      </c>
      <c r="K51" s="283">
        <v>0</v>
      </c>
      <c r="L51" s="283">
        <v>0</v>
      </c>
      <c r="M51" s="283">
        <v>0</v>
      </c>
      <c r="N51" s="283">
        <v>0</v>
      </c>
      <c r="O51" s="283">
        <v>0</v>
      </c>
      <c r="P51" s="283">
        <v>0</v>
      </c>
      <c r="Q51" s="283">
        <v>0</v>
      </c>
      <c r="R51" s="283">
        <v>0</v>
      </c>
      <c r="S51" s="283">
        <v>0</v>
      </c>
      <c r="T51" s="284">
        <f t="shared" si="0"/>
        <v>172981938</v>
      </c>
      <c r="U51" s="284">
        <f t="shared" si="0"/>
        <v>10106005</v>
      </c>
      <c r="V51" s="284">
        <f t="shared" si="1"/>
        <v>33221239</v>
      </c>
      <c r="W51" s="284">
        <f t="shared" si="2"/>
        <v>209156</v>
      </c>
    </row>
    <row r="52" spans="1:23" x14ac:dyDescent="0.2">
      <c r="A52" s="282" t="s">
        <v>120</v>
      </c>
      <c r="B52" s="282">
        <v>20003</v>
      </c>
      <c r="C52" s="283">
        <v>199205990</v>
      </c>
      <c r="D52" s="283">
        <v>18966255</v>
      </c>
      <c r="E52" s="283">
        <v>1129442</v>
      </c>
      <c r="F52" s="283">
        <v>3886133</v>
      </c>
      <c r="G52" s="283">
        <v>16417626</v>
      </c>
      <c r="H52" s="283">
        <v>7007</v>
      </c>
      <c r="I52" s="283">
        <v>0</v>
      </c>
      <c r="J52" s="283">
        <v>0</v>
      </c>
      <c r="K52" s="283">
        <v>0</v>
      </c>
      <c r="L52" s="283">
        <v>0</v>
      </c>
      <c r="M52" s="283">
        <v>0</v>
      </c>
      <c r="N52" s="283">
        <v>0</v>
      </c>
      <c r="O52" s="283">
        <v>0</v>
      </c>
      <c r="P52" s="283">
        <v>0</v>
      </c>
      <c r="Q52" s="283">
        <v>0</v>
      </c>
      <c r="R52" s="283">
        <v>0</v>
      </c>
      <c r="S52" s="283">
        <v>0</v>
      </c>
      <c r="T52" s="284">
        <f t="shared" si="0"/>
        <v>199205990</v>
      </c>
      <c r="U52" s="284">
        <f t="shared" si="0"/>
        <v>18966255</v>
      </c>
      <c r="V52" s="284">
        <f t="shared" si="1"/>
        <v>16424633</v>
      </c>
      <c r="W52" s="284">
        <f t="shared" si="2"/>
        <v>190159</v>
      </c>
    </row>
    <row r="53" spans="1:23" x14ac:dyDescent="0.2">
      <c r="A53" s="282" t="s">
        <v>13</v>
      </c>
      <c r="B53" s="282">
        <v>21001</v>
      </c>
      <c r="C53" s="283">
        <v>178758861</v>
      </c>
      <c r="D53" s="283">
        <v>37756824</v>
      </c>
      <c r="E53" s="283">
        <v>155835</v>
      </c>
      <c r="F53" s="283">
        <v>956746</v>
      </c>
      <c r="G53" s="283">
        <v>16785171</v>
      </c>
      <c r="H53" s="283">
        <v>1551033</v>
      </c>
      <c r="I53" s="283">
        <v>0</v>
      </c>
      <c r="J53" s="283">
        <v>0</v>
      </c>
      <c r="K53" s="283">
        <v>0</v>
      </c>
      <c r="L53" s="283">
        <v>0</v>
      </c>
      <c r="M53" s="283">
        <v>0</v>
      </c>
      <c r="N53" s="283">
        <v>0</v>
      </c>
      <c r="O53" s="283">
        <v>0</v>
      </c>
      <c r="P53" s="283">
        <v>0</v>
      </c>
      <c r="Q53" s="283">
        <v>0</v>
      </c>
      <c r="R53" s="283">
        <v>0</v>
      </c>
      <c r="S53" s="283">
        <v>0</v>
      </c>
      <c r="T53" s="284">
        <f t="shared" si="0"/>
        <v>178758861</v>
      </c>
      <c r="U53" s="284">
        <f t="shared" si="0"/>
        <v>37756824</v>
      </c>
      <c r="V53" s="284">
        <f t="shared" si="1"/>
        <v>18336204</v>
      </c>
      <c r="W53" s="284">
        <f t="shared" si="2"/>
        <v>208390</v>
      </c>
    </row>
    <row r="54" spans="1:23" x14ac:dyDescent="0.2">
      <c r="A54" s="282" t="s">
        <v>386</v>
      </c>
      <c r="B54" s="282">
        <v>21003</v>
      </c>
      <c r="C54" s="283">
        <v>480015976</v>
      </c>
      <c r="D54" s="283">
        <v>72808310</v>
      </c>
      <c r="E54" s="283">
        <v>261148</v>
      </c>
      <c r="F54" s="283">
        <v>1481730</v>
      </c>
      <c r="G54" s="283">
        <v>32777113</v>
      </c>
      <c r="H54" s="283">
        <v>1183913</v>
      </c>
      <c r="I54" s="283">
        <v>0</v>
      </c>
      <c r="J54" s="283">
        <v>0</v>
      </c>
      <c r="K54" s="283">
        <v>0</v>
      </c>
      <c r="L54" s="283">
        <v>0</v>
      </c>
      <c r="M54" s="283">
        <v>0</v>
      </c>
      <c r="N54" s="283">
        <v>0</v>
      </c>
      <c r="O54" s="283">
        <v>0</v>
      </c>
      <c r="P54" s="283">
        <v>0</v>
      </c>
      <c r="Q54" s="283">
        <v>0</v>
      </c>
      <c r="R54" s="283">
        <v>0</v>
      </c>
      <c r="S54" s="283">
        <v>0</v>
      </c>
      <c r="T54" s="284">
        <f t="shared" si="0"/>
        <v>480015976</v>
      </c>
      <c r="U54" s="284">
        <f t="shared" si="0"/>
        <v>72808310</v>
      </c>
      <c r="V54" s="284">
        <f t="shared" si="1"/>
        <v>33961026</v>
      </c>
      <c r="W54" s="284">
        <f t="shared" si="2"/>
        <v>478956</v>
      </c>
    </row>
    <row r="55" spans="1:23" x14ac:dyDescent="0.2">
      <c r="A55" s="282" t="s">
        <v>22</v>
      </c>
      <c r="B55" s="282">
        <v>22001</v>
      </c>
      <c r="C55" s="283">
        <v>219113985</v>
      </c>
      <c r="D55" s="283">
        <v>19358655</v>
      </c>
      <c r="E55" s="283">
        <v>372503</v>
      </c>
      <c r="F55" s="283">
        <v>615605</v>
      </c>
      <c r="G55" s="283">
        <v>26694243</v>
      </c>
      <c r="H55" s="283">
        <v>10553969</v>
      </c>
      <c r="I55" s="283">
        <v>0</v>
      </c>
      <c r="J55" s="283">
        <v>0</v>
      </c>
      <c r="K55" s="283">
        <v>0</v>
      </c>
      <c r="L55" s="283">
        <v>0</v>
      </c>
      <c r="M55" s="283">
        <v>0</v>
      </c>
      <c r="N55" s="283">
        <v>0</v>
      </c>
      <c r="O55" s="283">
        <v>0</v>
      </c>
      <c r="P55" s="283">
        <v>0</v>
      </c>
      <c r="Q55" s="283">
        <v>0</v>
      </c>
      <c r="R55" s="283">
        <v>0</v>
      </c>
      <c r="S55" s="283">
        <v>0</v>
      </c>
      <c r="T55" s="284">
        <f t="shared" si="0"/>
        <v>219113985</v>
      </c>
      <c r="U55" s="284">
        <f t="shared" si="0"/>
        <v>19358655</v>
      </c>
      <c r="V55" s="284">
        <f t="shared" si="1"/>
        <v>37248212</v>
      </c>
      <c r="W55" s="284">
        <f t="shared" si="2"/>
        <v>260323</v>
      </c>
    </row>
    <row r="56" spans="1:23" x14ac:dyDescent="0.2">
      <c r="A56" s="282" t="s">
        <v>46</v>
      </c>
      <c r="B56" s="282">
        <v>22005</v>
      </c>
      <c r="C56" s="283">
        <v>437868927</v>
      </c>
      <c r="D56" s="283">
        <v>23693185</v>
      </c>
      <c r="E56" s="283">
        <v>872384</v>
      </c>
      <c r="F56" s="283">
        <v>1587733</v>
      </c>
      <c r="G56" s="283">
        <v>30348647</v>
      </c>
      <c r="H56" s="283">
        <v>44688824</v>
      </c>
      <c r="I56" s="283">
        <v>195833</v>
      </c>
      <c r="J56" s="283">
        <v>0</v>
      </c>
      <c r="K56" s="283">
        <v>0</v>
      </c>
      <c r="L56" s="283">
        <v>0</v>
      </c>
      <c r="M56" s="283">
        <v>271849</v>
      </c>
      <c r="N56" s="283">
        <v>0</v>
      </c>
      <c r="O56" s="283">
        <v>0</v>
      </c>
      <c r="P56" s="283">
        <v>0</v>
      </c>
      <c r="Q56" s="283">
        <v>0</v>
      </c>
      <c r="R56" s="283">
        <v>0</v>
      </c>
      <c r="S56" s="283">
        <v>0</v>
      </c>
      <c r="T56" s="284">
        <f t="shared" si="0"/>
        <v>438064760</v>
      </c>
      <c r="U56" s="284">
        <f t="shared" si="0"/>
        <v>23693185</v>
      </c>
      <c r="V56" s="284">
        <f t="shared" si="1"/>
        <v>75309320</v>
      </c>
      <c r="W56" s="284">
        <f t="shared" si="2"/>
        <v>502676</v>
      </c>
    </row>
    <row r="57" spans="1:23" x14ac:dyDescent="0.2">
      <c r="A57" s="282" t="s">
        <v>75</v>
      </c>
      <c r="B57" s="282">
        <v>22006</v>
      </c>
      <c r="C57" s="283">
        <v>474154071</v>
      </c>
      <c r="D57" s="283">
        <v>160432888</v>
      </c>
      <c r="E57" s="283">
        <v>2155683</v>
      </c>
      <c r="F57" s="283">
        <v>4860201</v>
      </c>
      <c r="G57" s="283">
        <v>133924347</v>
      </c>
      <c r="H57" s="283">
        <v>37570783</v>
      </c>
      <c r="I57" s="283">
        <v>0</v>
      </c>
      <c r="J57" s="283">
        <v>0</v>
      </c>
      <c r="K57" s="283">
        <v>0</v>
      </c>
      <c r="L57" s="283">
        <v>0</v>
      </c>
      <c r="M57" s="283">
        <v>0</v>
      </c>
      <c r="N57" s="283">
        <v>0</v>
      </c>
      <c r="O57" s="283">
        <v>0</v>
      </c>
      <c r="P57" s="283">
        <v>0</v>
      </c>
      <c r="Q57" s="283">
        <v>0</v>
      </c>
      <c r="R57" s="283">
        <v>0</v>
      </c>
      <c r="S57" s="283">
        <v>0</v>
      </c>
      <c r="T57" s="284">
        <f t="shared" si="0"/>
        <v>474154071</v>
      </c>
      <c r="U57" s="284">
        <f t="shared" si="0"/>
        <v>160432888</v>
      </c>
      <c r="V57" s="284">
        <f t="shared" si="1"/>
        <v>171495130</v>
      </c>
      <c r="W57" s="284">
        <f t="shared" si="2"/>
        <v>974066</v>
      </c>
    </row>
    <row r="58" spans="1:23" x14ac:dyDescent="0.2">
      <c r="A58" s="282" t="s">
        <v>45</v>
      </c>
      <c r="B58" s="282">
        <v>23001</v>
      </c>
      <c r="C58" s="283">
        <v>55455377</v>
      </c>
      <c r="D58" s="283">
        <v>41734536</v>
      </c>
      <c r="E58" s="283">
        <v>1652669</v>
      </c>
      <c r="F58" s="283">
        <v>3573579</v>
      </c>
      <c r="G58" s="283">
        <v>44034649</v>
      </c>
      <c r="H58" s="283">
        <v>90358222</v>
      </c>
      <c r="I58" s="283">
        <v>0</v>
      </c>
      <c r="J58" s="283">
        <v>0</v>
      </c>
      <c r="K58" s="283">
        <v>0</v>
      </c>
      <c r="L58" s="283">
        <v>0</v>
      </c>
      <c r="M58" s="283">
        <v>0</v>
      </c>
      <c r="N58" s="283">
        <v>0</v>
      </c>
      <c r="O58" s="283">
        <v>0</v>
      </c>
      <c r="P58" s="283">
        <v>0</v>
      </c>
      <c r="Q58" s="283">
        <v>0</v>
      </c>
      <c r="R58" s="283">
        <v>0</v>
      </c>
      <c r="S58" s="283">
        <v>0</v>
      </c>
      <c r="T58" s="284">
        <f t="shared" si="0"/>
        <v>55455377</v>
      </c>
      <c r="U58" s="284">
        <f t="shared" si="0"/>
        <v>41734536</v>
      </c>
      <c r="V58" s="284">
        <f t="shared" si="1"/>
        <v>134392871</v>
      </c>
      <c r="W58" s="284">
        <f t="shared" si="2"/>
        <v>461630</v>
      </c>
    </row>
    <row r="59" spans="1:23" x14ac:dyDescent="0.2">
      <c r="A59" s="282" t="s">
        <v>71</v>
      </c>
      <c r="B59" s="282">
        <v>23002</v>
      </c>
      <c r="C59" s="283">
        <v>58434794</v>
      </c>
      <c r="D59" s="283">
        <v>475340594</v>
      </c>
      <c r="E59" s="283">
        <v>22959002</v>
      </c>
      <c r="F59" s="283">
        <v>28837241</v>
      </c>
      <c r="G59" s="283">
        <v>313247755</v>
      </c>
      <c r="H59" s="283">
        <v>21013654</v>
      </c>
      <c r="I59" s="283">
        <v>11577</v>
      </c>
      <c r="J59" s="283">
        <v>0</v>
      </c>
      <c r="K59" s="283">
        <v>0</v>
      </c>
      <c r="L59" s="283">
        <v>0</v>
      </c>
      <c r="M59" s="283">
        <v>755676</v>
      </c>
      <c r="N59" s="283">
        <v>0</v>
      </c>
      <c r="O59" s="283">
        <v>0</v>
      </c>
      <c r="P59" s="283">
        <v>0</v>
      </c>
      <c r="Q59" s="283">
        <v>0</v>
      </c>
      <c r="R59" s="283">
        <v>0</v>
      </c>
      <c r="S59" s="283">
        <v>0</v>
      </c>
      <c r="T59" s="284">
        <f t="shared" si="0"/>
        <v>58446371</v>
      </c>
      <c r="U59" s="284">
        <f t="shared" si="0"/>
        <v>475340594</v>
      </c>
      <c r="V59" s="284">
        <f t="shared" si="1"/>
        <v>335017085</v>
      </c>
      <c r="W59" s="284">
        <f t="shared" si="2"/>
        <v>1600366</v>
      </c>
    </row>
    <row r="60" spans="1:23" x14ac:dyDescent="0.2">
      <c r="A60" s="282" t="s">
        <v>101</v>
      </c>
      <c r="B60" s="282">
        <v>23003</v>
      </c>
      <c r="C60" s="283">
        <v>58929658</v>
      </c>
      <c r="D60" s="283">
        <v>17542831</v>
      </c>
      <c r="E60" s="283">
        <v>724613</v>
      </c>
      <c r="F60" s="283">
        <v>3170778</v>
      </c>
      <c r="G60" s="283">
        <v>8756342</v>
      </c>
      <c r="H60" s="283">
        <v>4878114</v>
      </c>
      <c r="I60" s="283">
        <v>229629</v>
      </c>
      <c r="J60" s="283">
        <v>0</v>
      </c>
      <c r="K60" s="283">
        <v>0</v>
      </c>
      <c r="L60" s="283">
        <v>0</v>
      </c>
      <c r="M60" s="283">
        <v>2022841</v>
      </c>
      <c r="N60" s="283">
        <v>0</v>
      </c>
      <c r="O60" s="283">
        <v>0</v>
      </c>
      <c r="P60" s="283">
        <v>0</v>
      </c>
      <c r="Q60" s="283">
        <v>0</v>
      </c>
      <c r="R60" s="283">
        <v>0</v>
      </c>
      <c r="S60" s="283">
        <v>0</v>
      </c>
      <c r="T60" s="284">
        <f t="shared" si="0"/>
        <v>59159287</v>
      </c>
      <c r="U60" s="284">
        <f t="shared" si="0"/>
        <v>17542831</v>
      </c>
      <c r="V60" s="284">
        <f t="shared" si="1"/>
        <v>15657297</v>
      </c>
      <c r="W60" s="284">
        <f t="shared" si="2"/>
        <v>102307</v>
      </c>
    </row>
    <row r="61" spans="1:23" x14ac:dyDescent="0.2">
      <c r="A61" s="282" t="s">
        <v>381</v>
      </c>
      <c r="B61" s="282">
        <v>24004</v>
      </c>
      <c r="C61" s="283">
        <v>867663536</v>
      </c>
      <c r="D61" s="283">
        <v>47991378</v>
      </c>
      <c r="E61" s="283">
        <v>529854</v>
      </c>
      <c r="F61" s="283">
        <v>1607270</v>
      </c>
      <c r="G61" s="283">
        <v>23885477</v>
      </c>
      <c r="H61" s="283">
        <v>18889129</v>
      </c>
      <c r="I61" s="283">
        <v>0</v>
      </c>
      <c r="J61" s="283">
        <v>0</v>
      </c>
      <c r="K61" s="283">
        <v>0</v>
      </c>
      <c r="L61" s="283">
        <v>0</v>
      </c>
      <c r="M61" s="283">
        <v>1</v>
      </c>
      <c r="N61" s="283">
        <v>0</v>
      </c>
      <c r="O61" s="283">
        <v>941162</v>
      </c>
      <c r="P61" s="283">
        <v>0</v>
      </c>
      <c r="Q61" s="283">
        <v>0</v>
      </c>
      <c r="R61" s="283">
        <v>12757</v>
      </c>
      <c r="S61" s="283">
        <v>0</v>
      </c>
      <c r="T61" s="284">
        <f t="shared" si="0"/>
        <v>867663536</v>
      </c>
      <c r="U61" s="284">
        <f t="shared" si="0"/>
        <v>48932540</v>
      </c>
      <c r="V61" s="284">
        <f t="shared" si="1"/>
        <v>42787364</v>
      </c>
      <c r="W61" s="284">
        <f t="shared" si="2"/>
        <v>703448</v>
      </c>
    </row>
    <row r="62" spans="1:23" x14ac:dyDescent="0.2">
      <c r="A62" s="282" t="s">
        <v>19</v>
      </c>
      <c r="B62" s="282">
        <v>25001</v>
      </c>
      <c r="C62" s="283">
        <v>13274309</v>
      </c>
      <c r="D62" s="283">
        <v>62561468</v>
      </c>
      <c r="E62" s="283">
        <v>580463</v>
      </c>
      <c r="F62" s="283">
        <v>622504</v>
      </c>
      <c r="G62" s="283">
        <v>53516050</v>
      </c>
      <c r="H62" s="283">
        <v>20827706</v>
      </c>
      <c r="I62" s="283">
        <v>1</v>
      </c>
      <c r="J62" s="283">
        <v>0</v>
      </c>
      <c r="K62" s="283">
        <v>0</v>
      </c>
      <c r="L62" s="283">
        <v>0</v>
      </c>
      <c r="M62" s="283">
        <v>0</v>
      </c>
      <c r="N62" s="283">
        <v>0</v>
      </c>
      <c r="O62" s="283">
        <v>0</v>
      </c>
      <c r="P62" s="283">
        <v>0</v>
      </c>
      <c r="Q62" s="283">
        <v>0</v>
      </c>
      <c r="R62" s="283">
        <v>0</v>
      </c>
      <c r="S62" s="283">
        <v>0</v>
      </c>
      <c r="T62" s="284">
        <f t="shared" si="0"/>
        <v>13274310</v>
      </c>
      <c r="U62" s="284">
        <f t="shared" si="0"/>
        <v>62561468</v>
      </c>
      <c r="V62" s="284">
        <f t="shared" si="1"/>
        <v>74343756</v>
      </c>
      <c r="W62" s="284">
        <f t="shared" si="2"/>
        <v>297827</v>
      </c>
    </row>
    <row r="63" spans="1:23" x14ac:dyDescent="0.2">
      <c r="A63" s="282" t="s">
        <v>93</v>
      </c>
      <c r="B63" s="282">
        <v>25004</v>
      </c>
      <c r="C63" s="283">
        <v>591777771</v>
      </c>
      <c r="D63" s="283">
        <v>359874986</v>
      </c>
      <c r="E63" s="283">
        <v>1512141</v>
      </c>
      <c r="F63" s="283">
        <v>3931354</v>
      </c>
      <c r="G63" s="283">
        <v>202280015</v>
      </c>
      <c r="H63" s="283">
        <v>117044186</v>
      </c>
      <c r="I63" s="283">
        <v>0</v>
      </c>
      <c r="J63" s="283">
        <v>0</v>
      </c>
      <c r="K63" s="283">
        <v>0</v>
      </c>
      <c r="L63" s="283">
        <v>0</v>
      </c>
      <c r="M63" s="283">
        <v>40225</v>
      </c>
      <c r="N63" s="283">
        <v>0</v>
      </c>
      <c r="O63" s="283">
        <v>0</v>
      </c>
      <c r="P63" s="283">
        <v>0</v>
      </c>
      <c r="Q63" s="283">
        <v>0</v>
      </c>
      <c r="R63" s="283">
        <v>0</v>
      </c>
      <c r="S63" s="283">
        <v>0</v>
      </c>
      <c r="T63" s="284">
        <f t="shared" si="0"/>
        <v>591777771</v>
      </c>
      <c r="U63" s="284">
        <f t="shared" si="0"/>
        <v>359874986</v>
      </c>
      <c r="V63" s="284">
        <f t="shared" si="1"/>
        <v>319364426</v>
      </c>
      <c r="W63" s="284">
        <f t="shared" si="2"/>
        <v>1721510</v>
      </c>
    </row>
    <row r="64" spans="1:23" x14ac:dyDescent="0.2">
      <c r="A64" s="282" t="s">
        <v>27</v>
      </c>
      <c r="B64" s="282">
        <v>26002</v>
      </c>
      <c r="C64" s="283">
        <v>163438008</v>
      </c>
      <c r="D64" s="283">
        <v>40929395</v>
      </c>
      <c r="E64" s="283">
        <v>822067</v>
      </c>
      <c r="F64" s="283">
        <v>1681148</v>
      </c>
      <c r="G64" s="283">
        <v>32735497</v>
      </c>
      <c r="H64" s="283">
        <v>301</v>
      </c>
      <c r="I64" s="283">
        <v>0</v>
      </c>
      <c r="J64" s="283">
        <v>0</v>
      </c>
      <c r="K64" s="283">
        <v>0</v>
      </c>
      <c r="L64" s="283">
        <v>0</v>
      </c>
      <c r="M64" s="283">
        <v>0</v>
      </c>
      <c r="N64" s="283">
        <v>0</v>
      </c>
      <c r="O64" s="283">
        <v>0</v>
      </c>
      <c r="P64" s="283">
        <v>0</v>
      </c>
      <c r="Q64" s="283">
        <v>0</v>
      </c>
      <c r="R64" s="283">
        <v>0</v>
      </c>
      <c r="S64" s="283">
        <v>0</v>
      </c>
      <c r="T64" s="284">
        <f t="shared" si="0"/>
        <v>163438008</v>
      </c>
      <c r="U64" s="284">
        <f t="shared" si="0"/>
        <v>40929395</v>
      </c>
      <c r="V64" s="284">
        <f t="shared" si="1"/>
        <v>32735798</v>
      </c>
      <c r="W64" s="284">
        <f t="shared" si="2"/>
        <v>243386</v>
      </c>
    </row>
    <row r="65" spans="1:23" x14ac:dyDescent="0.2">
      <c r="A65" s="282" t="s">
        <v>61</v>
      </c>
      <c r="B65" s="282">
        <v>26004</v>
      </c>
      <c r="C65" s="283">
        <v>282027985</v>
      </c>
      <c r="D65" s="283">
        <v>66666421</v>
      </c>
      <c r="E65" s="283">
        <v>1364541</v>
      </c>
      <c r="F65" s="283">
        <v>3489635</v>
      </c>
      <c r="G65" s="283">
        <v>65954130</v>
      </c>
      <c r="H65" s="283">
        <v>523</v>
      </c>
      <c r="I65" s="283">
        <v>203672</v>
      </c>
      <c r="J65" s="283">
        <v>0</v>
      </c>
      <c r="K65" s="283">
        <v>0</v>
      </c>
      <c r="L65" s="283">
        <v>0</v>
      </c>
      <c r="M65" s="283">
        <v>602831</v>
      </c>
      <c r="N65" s="283">
        <v>0</v>
      </c>
      <c r="O65" s="283">
        <v>0</v>
      </c>
      <c r="P65" s="283">
        <v>0</v>
      </c>
      <c r="Q65" s="283">
        <v>0</v>
      </c>
      <c r="R65" s="283">
        <v>0</v>
      </c>
      <c r="S65" s="283">
        <v>0</v>
      </c>
      <c r="T65" s="284">
        <f t="shared" si="0"/>
        <v>282231657</v>
      </c>
      <c r="U65" s="284">
        <f t="shared" si="0"/>
        <v>66666421</v>
      </c>
      <c r="V65" s="284">
        <f t="shared" si="1"/>
        <v>66557484</v>
      </c>
      <c r="W65" s="284">
        <f t="shared" si="2"/>
        <v>442713</v>
      </c>
    </row>
    <row r="66" spans="1:23" x14ac:dyDescent="0.2">
      <c r="A66" s="282" t="s">
        <v>115</v>
      </c>
      <c r="B66" s="282">
        <v>26005</v>
      </c>
      <c r="C66" s="283">
        <v>127538485</v>
      </c>
      <c r="D66" s="283">
        <v>22716256</v>
      </c>
      <c r="E66" s="283">
        <v>304416</v>
      </c>
      <c r="F66" s="283">
        <v>1179575</v>
      </c>
      <c r="G66" s="283">
        <v>24088938</v>
      </c>
      <c r="H66" s="283">
        <v>0</v>
      </c>
      <c r="I66" s="283">
        <v>0</v>
      </c>
      <c r="J66" s="283">
        <v>38600</v>
      </c>
      <c r="K66" s="283">
        <v>0</v>
      </c>
      <c r="L66" s="283">
        <v>0</v>
      </c>
      <c r="M66" s="283">
        <v>0</v>
      </c>
      <c r="N66" s="283">
        <v>0</v>
      </c>
      <c r="O66" s="283">
        <v>0</v>
      </c>
      <c r="P66" s="283">
        <v>0</v>
      </c>
      <c r="Q66" s="283">
        <v>0</v>
      </c>
      <c r="R66" s="283">
        <v>0</v>
      </c>
      <c r="S66" s="283">
        <v>0</v>
      </c>
      <c r="T66" s="284">
        <f t="shared" si="0"/>
        <v>127538485</v>
      </c>
      <c r="U66" s="284">
        <f t="shared" si="0"/>
        <v>22754856</v>
      </c>
      <c r="V66" s="284">
        <f t="shared" si="1"/>
        <v>24088938</v>
      </c>
      <c r="W66" s="284">
        <f t="shared" si="2"/>
        <v>173586</v>
      </c>
    </row>
    <row r="67" spans="1:23" x14ac:dyDescent="0.2">
      <c r="A67" s="282" t="s">
        <v>63</v>
      </c>
      <c r="B67" s="282">
        <v>27001</v>
      </c>
      <c r="C67" s="283">
        <v>415040366</v>
      </c>
      <c r="D67" s="283">
        <v>59733736</v>
      </c>
      <c r="E67" s="283">
        <v>3523870</v>
      </c>
      <c r="F67" s="283">
        <v>6849750</v>
      </c>
      <c r="G67" s="283">
        <v>42068397</v>
      </c>
      <c r="H67" s="283">
        <v>54793</v>
      </c>
      <c r="I67" s="283">
        <v>0</v>
      </c>
      <c r="J67" s="283">
        <v>8329</v>
      </c>
      <c r="K67" s="283">
        <v>0</v>
      </c>
      <c r="L67" s="283">
        <v>0</v>
      </c>
      <c r="M67" s="283">
        <v>17290</v>
      </c>
      <c r="N67" s="283">
        <v>0</v>
      </c>
      <c r="O67" s="283">
        <v>0</v>
      </c>
      <c r="P67" s="283">
        <v>0</v>
      </c>
      <c r="Q67" s="283">
        <v>0</v>
      </c>
      <c r="R67" s="283">
        <v>0</v>
      </c>
      <c r="S67" s="283">
        <v>0</v>
      </c>
      <c r="T67" s="284">
        <f t="shared" si="0"/>
        <v>415040366</v>
      </c>
      <c r="U67" s="284">
        <f t="shared" si="0"/>
        <v>59742065</v>
      </c>
      <c r="V67" s="284">
        <f t="shared" si="1"/>
        <v>42140480</v>
      </c>
      <c r="W67" s="284">
        <f t="shared" si="2"/>
        <v>445240</v>
      </c>
    </row>
    <row r="68" spans="1:23" x14ac:dyDescent="0.2">
      <c r="A68" s="282" t="s">
        <v>30</v>
      </c>
      <c r="B68" s="282">
        <v>28001</v>
      </c>
      <c r="C68" s="283">
        <v>197244178</v>
      </c>
      <c r="D68" s="283">
        <v>95434203</v>
      </c>
      <c r="E68" s="283">
        <v>421453</v>
      </c>
      <c r="F68" s="283">
        <v>733113</v>
      </c>
      <c r="G68" s="283">
        <v>27106485</v>
      </c>
      <c r="H68" s="283">
        <v>6704525</v>
      </c>
      <c r="I68" s="283">
        <v>45707</v>
      </c>
      <c r="J68" s="283">
        <v>0</v>
      </c>
      <c r="K68" s="283">
        <v>0</v>
      </c>
      <c r="L68" s="283">
        <v>0</v>
      </c>
      <c r="M68" s="283">
        <v>0</v>
      </c>
      <c r="N68" s="283">
        <v>0</v>
      </c>
      <c r="O68" s="283">
        <v>0</v>
      </c>
      <c r="P68" s="283">
        <v>0</v>
      </c>
      <c r="Q68" s="283">
        <v>0</v>
      </c>
      <c r="R68" s="283">
        <v>0</v>
      </c>
      <c r="S68" s="283">
        <v>0</v>
      </c>
      <c r="T68" s="284">
        <f t="shared" si="0"/>
        <v>197289885</v>
      </c>
      <c r="U68" s="284">
        <f t="shared" si="0"/>
        <v>95434203</v>
      </c>
      <c r="V68" s="284">
        <f t="shared" si="1"/>
        <v>33811010</v>
      </c>
      <c r="W68" s="284">
        <f t="shared" si="2"/>
        <v>339636</v>
      </c>
    </row>
    <row r="69" spans="1:23" x14ac:dyDescent="0.2">
      <c r="A69" s="282" t="s">
        <v>50</v>
      </c>
      <c r="B69" s="282">
        <v>28002</v>
      </c>
      <c r="C69" s="283">
        <v>225626058</v>
      </c>
      <c r="D69" s="283">
        <v>120866876</v>
      </c>
      <c r="E69" s="283">
        <v>764164</v>
      </c>
      <c r="F69" s="283">
        <v>1008726</v>
      </c>
      <c r="G69" s="283">
        <v>133309928</v>
      </c>
      <c r="H69" s="283">
        <v>15288335</v>
      </c>
      <c r="I69" s="283">
        <v>0</v>
      </c>
      <c r="J69" s="283">
        <v>0</v>
      </c>
      <c r="K69" s="283">
        <v>0</v>
      </c>
      <c r="L69" s="283">
        <v>0</v>
      </c>
      <c r="M69" s="283">
        <v>0</v>
      </c>
      <c r="N69" s="283">
        <v>0</v>
      </c>
      <c r="O69" s="283">
        <v>0</v>
      </c>
      <c r="P69" s="283">
        <v>0</v>
      </c>
      <c r="Q69" s="283">
        <v>0</v>
      </c>
      <c r="R69" s="283">
        <v>0</v>
      </c>
      <c r="S69" s="283">
        <v>0</v>
      </c>
      <c r="T69" s="284">
        <f t="shared" si="0"/>
        <v>225626058</v>
      </c>
      <c r="U69" s="284">
        <f t="shared" si="0"/>
        <v>120866876</v>
      </c>
      <c r="V69" s="284">
        <f t="shared" si="1"/>
        <v>148598263</v>
      </c>
      <c r="W69" s="284">
        <f t="shared" si="2"/>
        <v>708853</v>
      </c>
    </row>
    <row r="70" spans="1:23" x14ac:dyDescent="0.2">
      <c r="A70" s="282" t="s">
        <v>64</v>
      </c>
      <c r="B70" s="282">
        <v>28003</v>
      </c>
      <c r="C70" s="283">
        <v>520168796</v>
      </c>
      <c r="D70" s="283">
        <v>244670984</v>
      </c>
      <c r="E70" s="283">
        <v>512262</v>
      </c>
      <c r="F70" s="283">
        <v>1696864</v>
      </c>
      <c r="G70" s="283">
        <v>178344362</v>
      </c>
      <c r="H70" s="283">
        <v>6353102</v>
      </c>
      <c r="I70" s="283">
        <v>48628</v>
      </c>
      <c r="J70" s="283">
        <v>0</v>
      </c>
      <c r="K70" s="283">
        <v>0</v>
      </c>
      <c r="L70" s="283">
        <v>0</v>
      </c>
      <c r="M70" s="283">
        <v>0</v>
      </c>
      <c r="N70" s="283">
        <v>0</v>
      </c>
      <c r="O70" s="283">
        <v>0</v>
      </c>
      <c r="P70" s="283">
        <v>0</v>
      </c>
      <c r="Q70" s="283">
        <v>0</v>
      </c>
      <c r="R70" s="283">
        <v>0</v>
      </c>
      <c r="S70" s="283">
        <v>0</v>
      </c>
      <c r="T70" s="284">
        <f t="shared" si="0"/>
        <v>520217424</v>
      </c>
      <c r="U70" s="284">
        <f t="shared" si="0"/>
        <v>244670984</v>
      </c>
      <c r="V70" s="284">
        <f t="shared" si="1"/>
        <v>184697464</v>
      </c>
      <c r="W70" s="284">
        <f t="shared" si="2"/>
        <v>1151068</v>
      </c>
    </row>
    <row r="71" spans="1:23" x14ac:dyDescent="0.2">
      <c r="A71" s="282" t="s">
        <v>94</v>
      </c>
      <c r="B71" s="282">
        <v>29004</v>
      </c>
      <c r="C71" s="283">
        <v>1248405802</v>
      </c>
      <c r="D71" s="283">
        <v>108264359</v>
      </c>
      <c r="E71" s="283">
        <v>927312</v>
      </c>
      <c r="F71" s="283">
        <v>2576404</v>
      </c>
      <c r="G71" s="283">
        <v>77997469</v>
      </c>
      <c r="H71" s="283">
        <v>1560487</v>
      </c>
      <c r="I71" s="283">
        <v>0</v>
      </c>
      <c r="J71" s="283">
        <v>0</v>
      </c>
      <c r="K71" s="283">
        <v>0</v>
      </c>
      <c r="L71" s="283">
        <v>0</v>
      </c>
      <c r="M71" s="283">
        <v>0</v>
      </c>
      <c r="N71" s="283">
        <v>0</v>
      </c>
      <c r="O71" s="283">
        <v>0</v>
      </c>
      <c r="P71" s="283">
        <v>0</v>
      </c>
      <c r="Q71" s="283">
        <v>0</v>
      </c>
      <c r="R71" s="283">
        <v>0</v>
      </c>
      <c r="S71" s="283">
        <v>0</v>
      </c>
      <c r="T71" s="284">
        <f t="shared" si="0"/>
        <v>1248405802</v>
      </c>
      <c r="U71" s="284">
        <f t="shared" si="0"/>
        <v>108264359</v>
      </c>
      <c r="V71" s="284">
        <f t="shared" si="1"/>
        <v>79557956</v>
      </c>
      <c r="W71" s="284">
        <f t="shared" si="2"/>
        <v>1112726</v>
      </c>
    </row>
    <row r="72" spans="1:23" x14ac:dyDescent="0.2">
      <c r="A72" s="282" t="s">
        <v>65</v>
      </c>
      <c r="B72" s="282">
        <v>30001</v>
      </c>
      <c r="C72" s="283">
        <v>320785095</v>
      </c>
      <c r="D72" s="283">
        <v>109441494</v>
      </c>
      <c r="E72" s="283">
        <v>375820</v>
      </c>
      <c r="F72" s="283">
        <v>2209175</v>
      </c>
      <c r="G72" s="283">
        <v>32262522</v>
      </c>
      <c r="H72" s="283">
        <v>14730889</v>
      </c>
      <c r="I72" s="283">
        <v>0</v>
      </c>
      <c r="J72" s="283">
        <v>0</v>
      </c>
      <c r="K72" s="283">
        <v>0</v>
      </c>
      <c r="L72" s="283">
        <v>0</v>
      </c>
      <c r="M72" s="283">
        <v>0</v>
      </c>
      <c r="N72" s="283">
        <v>0</v>
      </c>
      <c r="O72" s="283">
        <v>3003491</v>
      </c>
      <c r="P72" s="283">
        <v>0</v>
      </c>
      <c r="Q72" s="283">
        <v>0</v>
      </c>
      <c r="R72" s="283">
        <v>461585</v>
      </c>
      <c r="S72" s="283">
        <v>0</v>
      </c>
      <c r="T72" s="284">
        <f t="shared" ref="T72:U135" si="3">C72+I72+N72</f>
        <v>320785095</v>
      </c>
      <c r="U72" s="284">
        <f t="shared" si="3"/>
        <v>112444985</v>
      </c>
      <c r="V72" s="284">
        <f t="shared" ref="V72:V135" si="4">G72+H72+M72+R72+S72</f>
        <v>47454996</v>
      </c>
      <c r="W72" s="284">
        <f t="shared" ref="W72:W135" si="5">ROUND(((T72*1.197)/1000+(U72*2.679)/1000+(V72*5.544)/1000)/2,0)</f>
        <v>474155</v>
      </c>
    </row>
    <row r="73" spans="1:23" x14ac:dyDescent="0.2">
      <c r="A73" s="282" t="s">
        <v>24</v>
      </c>
      <c r="B73" s="282">
        <v>30003</v>
      </c>
      <c r="C73" s="283">
        <v>309443045</v>
      </c>
      <c r="D73" s="283">
        <v>75899664</v>
      </c>
      <c r="E73" s="283">
        <v>106504</v>
      </c>
      <c r="F73" s="283">
        <v>579649</v>
      </c>
      <c r="G73" s="283">
        <v>35574112</v>
      </c>
      <c r="H73" s="283">
        <v>17321740</v>
      </c>
      <c r="I73" s="283">
        <v>0</v>
      </c>
      <c r="J73" s="283">
        <v>0</v>
      </c>
      <c r="K73" s="283">
        <v>0</v>
      </c>
      <c r="L73" s="283">
        <v>0</v>
      </c>
      <c r="M73" s="283">
        <v>0</v>
      </c>
      <c r="N73" s="283">
        <v>0</v>
      </c>
      <c r="O73" s="283">
        <v>0</v>
      </c>
      <c r="P73" s="283">
        <v>0</v>
      </c>
      <c r="Q73" s="283">
        <v>0</v>
      </c>
      <c r="R73" s="283">
        <v>0</v>
      </c>
      <c r="S73" s="283">
        <v>0</v>
      </c>
      <c r="T73" s="284">
        <f t="shared" si="3"/>
        <v>309443045</v>
      </c>
      <c r="U73" s="284">
        <f t="shared" si="3"/>
        <v>75899664</v>
      </c>
      <c r="V73" s="284">
        <f t="shared" si="4"/>
        <v>52895852</v>
      </c>
      <c r="W73" s="284">
        <f t="shared" si="5"/>
        <v>433497</v>
      </c>
    </row>
    <row r="74" spans="1:23" x14ac:dyDescent="0.2">
      <c r="A74" s="282" t="s">
        <v>66</v>
      </c>
      <c r="B74" s="282">
        <v>31001</v>
      </c>
      <c r="C74" s="283">
        <v>273350248</v>
      </c>
      <c r="D74" s="283">
        <v>45620067</v>
      </c>
      <c r="E74" s="283">
        <v>6292813</v>
      </c>
      <c r="F74" s="283">
        <v>10253551</v>
      </c>
      <c r="G74" s="283">
        <v>57657274</v>
      </c>
      <c r="H74" s="283">
        <v>5597442</v>
      </c>
      <c r="I74" s="283">
        <v>0</v>
      </c>
      <c r="J74" s="283">
        <v>0</v>
      </c>
      <c r="K74" s="283">
        <v>0</v>
      </c>
      <c r="L74" s="283">
        <v>0</v>
      </c>
      <c r="M74" s="283">
        <v>0</v>
      </c>
      <c r="N74" s="283">
        <v>0</v>
      </c>
      <c r="O74" s="283">
        <v>0</v>
      </c>
      <c r="P74" s="283">
        <v>0</v>
      </c>
      <c r="Q74" s="283">
        <v>0</v>
      </c>
      <c r="R74" s="283">
        <v>0</v>
      </c>
      <c r="S74" s="283">
        <v>0</v>
      </c>
      <c r="T74" s="284">
        <f t="shared" si="3"/>
        <v>273350248</v>
      </c>
      <c r="U74" s="284">
        <f t="shared" si="3"/>
        <v>45620067</v>
      </c>
      <c r="V74" s="284">
        <f t="shared" si="4"/>
        <v>63254716</v>
      </c>
      <c r="W74" s="284">
        <f t="shared" si="5"/>
        <v>400050</v>
      </c>
    </row>
    <row r="75" spans="1:23" x14ac:dyDescent="0.2">
      <c r="A75" s="282" t="s">
        <v>104</v>
      </c>
      <c r="B75" s="282">
        <v>32002</v>
      </c>
      <c r="C75" s="283">
        <v>206803283</v>
      </c>
      <c r="D75" s="283">
        <v>1174801531</v>
      </c>
      <c r="E75" s="283">
        <v>8797669</v>
      </c>
      <c r="F75" s="283">
        <v>32869951</v>
      </c>
      <c r="G75" s="283">
        <v>605982438</v>
      </c>
      <c r="H75" s="283">
        <v>4019432</v>
      </c>
      <c r="I75" s="283">
        <v>0</v>
      </c>
      <c r="J75" s="283">
        <v>0</v>
      </c>
      <c r="K75" s="283">
        <v>0</v>
      </c>
      <c r="L75" s="283">
        <v>0</v>
      </c>
      <c r="M75" s="283">
        <v>0</v>
      </c>
      <c r="N75" s="283">
        <v>0</v>
      </c>
      <c r="O75" s="283">
        <v>0</v>
      </c>
      <c r="P75" s="283">
        <v>0</v>
      </c>
      <c r="Q75" s="283">
        <v>0</v>
      </c>
      <c r="R75" s="283">
        <v>0</v>
      </c>
      <c r="S75" s="283">
        <v>0</v>
      </c>
      <c r="T75" s="284">
        <f t="shared" si="3"/>
        <v>206803283</v>
      </c>
      <c r="U75" s="284">
        <f t="shared" si="3"/>
        <v>1174801531</v>
      </c>
      <c r="V75" s="284">
        <f t="shared" si="4"/>
        <v>610001870</v>
      </c>
      <c r="W75" s="284">
        <f t="shared" si="5"/>
        <v>3388344</v>
      </c>
    </row>
    <row r="76" spans="1:23" x14ac:dyDescent="0.2">
      <c r="A76" s="282" t="s">
        <v>57</v>
      </c>
      <c r="B76" s="282">
        <v>33001</v>
      </c>
      <c r="C76" s="283">
        <v>319515633</v>
      </c>
      <c r="D76" s="283">
        <v>133071303</v>
      </c>
      <c r="E76" s="283">
        <v>289963</v>
      </c>
      <c r="F76" s="283">
        <v>1123540</v>
      </c>
      <c r="G76" s="283">
        <v>46482668</v>
      </c>
      <c r="H76" s="283">
        <v>17023725</v>
      </c>
      <c r="I76" s="283">
        <v>0</v>
      </c>
      <c r="J76" s="283">
        <v>0</v>
      </c>
      <c r="K76" s="283">
        <v>0</v>
      </c>
      <c r="L76" s="283">
        <v>0</v>
      </c>
      <c r="M76" s="283">
        <v>0</v>
      </c>
      <c r="N76" s="283">
        <v>0</v>
      </c>
      <c r="O76" s="283">
        <v>0</v>
      </c>
      <c r="P76" s="283">
        <v>0</v>
      </c>
      <c r="Q76" s="283">
        <v>0</v>
      </c>
      <c r="R76" s="283">
        <v>0</v>
      </c>
      <c r="S76" s="283">
        <v>0</v>
      </c>
      <c r="T76" s="284">
        <f t="shared" si="3"/>
        <v>319515633</v>
      </c>
      <c r="U76" s="284">
        <f t="shared" si="3"/>
        <v>133071303</v>
      </c>
      <c r="V76" s="284">
        <f t="shared" si="4"/>
        <v>63506393</v>
      </c>
      <c r="W76" s="284">
        <f t="shared" si="5"/>
        <v>545519</v>
      </c>
    </row>
    <row r="77" spans="1:23" x14ac:dyDescent="0.2">
      <c r="A77" s="282" t="s">
        <v>92</v>
      </c>
      <c r="B77" s="282">
        <v>33002</v>
      </c>
      <c r="C77" s="283">
        <v>222491258</v>
      </c>
      <c r="D77" s="283">
        <v>51212756</v>
      </c>
      <c r="E77" s="283">
        <v>105062</v>
      </c>
      <c r="F77" s="283">
        <v>549869</v>
      </c>
      <c r="G77" s="283">
        <v>17960635</v>
      </c>
      <c r="H77" s="283">
        <v>26935792</v>
      </c>
      <c r="I77" s="283">
        <v>0</v>
      </c>
      <c r="J77" s="283">
        <v>0</v>
      </c>
      <c r="K77" s="283">
        <v>0</v>
      </c>
      <c r="L77" s="283">
        <v>0</v>
      </c>
      <c r="M77" s="283">
        <v>2</v>
      </c>
      <c r="N77" s="283">
        <v>0</v>
      </c>
      <c r="O77" s="283">
        <v>0</v>
      </c>
      <c r="P77" s="283">
        <v>0</v>
      </c>
      <c r="Q77" s="283">
        <v>0</v>
      </c>
      <c r="R77" s="283">
        <v>0</v>
      </c>
      <c r="S77" s="283">
        <v>0</v>
      </c>
      <c r="T77" s="284">
        <f t="shared" si="3"/>
        <v>222491258</v>
      </c>
      <c r="U77" s="284">
        <f t="shared" si="3"/>
        <v>51212756</v>
      </c>
      <c r="V77" s="284">
        <f t="shared" si="4"/>
        <v>44896429</v>
      </c>
      <c r="W77" s="284">
        <f t="shared" si="5"/>
        <v>326213</v>
      </c>
    </row>
    <row r="78" spans="1:23" x14ac:dyDescent="0.2">
      <c r="A78" s="282" t="s">
        <v>103</v>
      </c>
      <c r="B78" s="282">
        <v>33003</v>
      </c>
      <c r="C78" s="283">
        <v>412931458</v>
      </c>
      <c r="D78" s="283">
        <v>155454703</v>
      </c>
      <c r="E78" s="283">
        <v>217331</v>
      </c>
      <c r="F78" s="283">
        <v>884562</v>
      </c>
      <c r="G78" s="283">
        <v>42142657</v>
      </c>
      <c r="H78" s="283">
        <v>4882605</v>
      </c>
      <c r="I78" s="283">
        <v>0</v>
      </c>
      <c r="J78" s="283">
        <v>0</v>
      </c>
      <c r="K78" s="283">
        <v>0</v>
      </c>
      <c r="L78" s="283">
        <v>0</v>
      </c>
      <c r="M78" s="283">
        <v>0</v>
      </c>
      <c r="N78" s="283">
        <v>0</v>
      </c>
      <c r="O78" s="283">
        <v>0</v>
      </c>
      <c r="P78" s="283">
        <v>0</v>
      </c>
      <c r="Q78" s="283">
        <v>0</v>
      </c>
      <c r="R78" s="283">
        <v>0</v>
      </c>
      <c r="S78" s="283">
        <v>0</v>
      </c>
      <c r="T78" s="284">
        <f t="shared" si="3"/>
        <v>412931458</v>
      </c>
      <c r="U78" s="284">
        <f t="shared" si="3"/>
        <v>155454703</v>
      </c>
      <c r="V78" s="284">
        <f t="shared" si="4"/>
        <v>47025262</v>
      </c>
      <c r="W78" s="284">
        <f t="shared" si="5"/>
        <v>585725</v>
      </c>
    </row>
    <row r="79" spans="1:23" x14ac:dyDescent="0.2">
      <c r="A79" s="282" t="s">
        <v>387</v>
      </c>
      <c r="B79" s="282">
        <v>33005</v>
      </c>
      <c r="C79" s="283">
        <v>337914962</v>
      </c>
      <c r="D79" s="283">
        <v>42108642</v>
      </c>
      <c r="E79" s="283">
        <v>74577</v>
      </c>
      <c r="F79" s="283">
        <v>499233</v>
      </c>
      <c r="G79" s="283">
        <v>26503166</v>
      </c>
      <c r="H79" s="283">
        <v>4345954</v>
      </c>
      <c r="I79" s="283">
        <v>0</v>
      </c>
      <c r="J79" s="283">
        <v>0</v>
      </c>
      <c r="K79" s="283">
        <v>0</v>
      </c>
      <c r="L79" s="283">
        <v>0</v>
      </c>
      <c r="M79" s="283">
        <v>0</v>
      </c>
      <c r="N79" s="283">
        <v>0</v>
      </c>
      <c r="O79" s="283">
        <v>0</v>
      </c>
      <c r="P79" s="283">
        <v>0</v>
      </c>
      <c r="Q79" s="283">
        <v>0</v>
      </c>
      <c r="R79" s="283">
        <v>0</v>
      </c>
      <c r="S79" s="283">
        <v>0</v>
      </c>
      <c r="T79" s="284">
        <f t="shared" si="3"/>
        <v>337914962</v>
      </c>
      <c r="U79" s="284">
        <f t="shared" si="3"/>
        <v>42108642</v>
      </c>
      <c r="V79" s="284">
        <f t="shared" si="4"/>
        <v>30849120</v>
      </c>
      <c r="W79" s="284">
        <f t="shared" si="5"/>
        <v>344160</v>
      </c>
    </row>
    <row r="80" spans="1:23" x14ac:dyDescent="0.2">
      <c r="A80" s="282" t="s">
        <v>474</v>
      </c>
      <c r="B80" s="282">
        <v>34002</v>
      </c>
      <c r="C80" s="283">
        <v>847820990</v>
      </c>
      <c r="D80" s="283">
        <v>44581386</v>
      </c>
      <c r="E80" s="283">
        <v>1097581</v>
      </c>
      <c r="F80" s="283">
        <v>2700151</v>
      </c>
      <c r="G80" s="283">
        <v>44533485</v>
      </c>
      <c r="H80" s="283">
        <v>2716515</v>
      </c>
      <c r="I80" s="283">
        <v>0</v>
      </c>
      <c r="J80" s="283">
        <v>0</v>
      </c>
      <c r="K80" s="283">
        <v>0</v>
      </c>
      <c r="L80" s="283">
        <v>0</v>
      </c>
      <c r="M80" s="283">
        <v>2</v>
      </c>
      <c r="N80" s="283">
        <v>0</v>
      </c>
      <c r="O80" s="283">
        <v>0</v>
      </c>
      <c r="P80" s="283">
        <v>0</v>
      </c>
      <c r="Q80" s="283">
        <v>0</v>
      </c>
      <c r="R80" s="283">
        <v>0</v>
      </c>
      <c r="S80" s="283">
        <v>0</v>
      </c>
      <c r="T80" s="284">
        <f t="shared" si="3"/>
        <v>847820990</v>
      </c>
      <c r="U80" s="284">
        <f t="shared" si="3"/>
        <v>44581386</v>
      </c>
      <c r="V80" s="284">
        <f t="shared" si="4"/>
        <v>47250002</v>
      </c>
      <c r="W80" s="284">
        <f t="shared" si="5"/>
        <v>698115</v>
      </c>
    </row>
    <row r="81" spans="1:23" x14ac:dyDescent="0.2">
      <c r="A81" s="282" t="s">
        <v>78</v>
      </c>
      <c r="B81" s="282">
        <v>35002</v>
      </c>
      <c r="C81" s="283">
        <v>329722568</v>
      </c>
      <c r="D81" s="283">
        <v>29145927</v>
      </c>
      <c r="E81" s="283">
        <v>3000714</v>
      </c>
      <c r="F81" s="283">
        <v>10363716</v>
      </c>
      <c r="G81" s="283">
        <v>32357611</v>
      </c>
      <c r="H81" s="283">
        <v>61650</v>
      </c>
      <c r="I81" s="283">
        <v>0</v>
      </c>
      <c r="J81" s="283">
        <v>0</v>
      </c>
      <c r="K81" s="283">
        <v>0</v>
      </c>
      <c r="L81" s="283">
        <v>0</v>
      </c>
      <c r="M81" s="283">
        <v>0</v>
      </c>
      <c r="N81" s="283">
        <v>0</v>
      </c>
      <c r="O81" s="283">
        <v>0</v>
      </c>
      <c r="P81" s="283">
        <v>0</v>
      </c>
      <c r="Q81" s="283">
        <v>0</v>
      </c>
      <c r="R81" s="283">
        <v>0</v>
      </c>
      <c r="S81" s="283">
        <v>0</v>
      </c>
      <c r="T81" s="284">
        <f t="shared" si="3"/>
        <v>329722568</v>
      </c>
      <c r="U81" s="284">
        <f t="shared" si="3"/>
        <v>29145927</v>
      </c>
      <c r="V81" s="284">
        <f t="shared" si="4"/>
        <v>32419261</v>
      </c>
      <c r="W81" s="284">
        <f t="shared" si="5"/>
        <v>326246</v>
      </c>
    </row>
    <row r="82" spans="1:23" x14ac:dyDescent="0.2">
      <c r="A82" s="282" t="s">
        <v>131</v>
      </c>
      <c r="B82" s="282">
        <v>36002</v>
      </c>
      <c r="C82" s="283">
        <v>722409606</v>
      </c>
      <c r="D82" s="283">
        <v>58283553</v>
      </c>
      <c r="E82" s="283">
        <v>651921</v>
      </c>
      <c r="F82" s="283">
        <v>2113491</v>
      </c>
      <c r="G82" s="283">
        <v>31504580</v>
      </c>
      <c r="H82" s="283">
        <v>510316</v>
      </c>
      <c r="I82" s="283">
        <v>0</v>
      </c>
      <c r="J82" s="283">
        <v>0</v>
      </c>
      <c r="K82" s="283">
        <v>0</v>
      </c>
      <c r="L82" s="283">
        <v>0</v>
      </c>
      <c r="M82" s="283">
        <v>0</v>
      </c>
      <c r="N82" s="283">
        <v>0</v>
      </c>
      <c r="O82" s="283">
        <v>0</v>
      </c>
      <c r="P82" s="283">
        <v>0</v>
      </c>
      <c r="Q82" s="283">
        <v>0</v>
      </c>
      <c r="R82" s="283">
        <v>0</v>
      </c>
      <c r="S82" s="283">
        <v>0</v>
      </c>
      <c r="T82" s="284">
        <f t="shared" si="3"/>
        <v>722409606</v>
      </c>
      <c r="U82" s="284">
        <f t="shared" si="3"/>
        <v>58283553</v>
      </c>
      <c r="V82" s="284">
        <f t="shared" si="4"/>
        <v>32014896</v>
      </c>
      <c r="W82" s="284">
        <f t="shared" si="5"/>
        <v>599178</v>
      </c>
    </row>
    <row r="83" spans="1:23" x14ac:dyDescent="0.2">
      <c r="A83" s="282" t="s">
        <v>77</v>
      </c>
      <c r="B83" s="282">
        <v>37003</v>
      </c>
      <c r="C83" s="283">
        <v>293119895</v>
      </c>
      <c r="D83" s="283">
        <v>21768493</v>
      </c>
      <c r="E83" s="283">
        <v>1015663</v>
      </c>
      <c r="F83" s="283">
        <v>2253355</v>
      </c>
      <c r="G83" s="283">
        <v>26625766</v>
      </c>
      <c r="H83" s="283">
        <v>20084</v>
      </c>
      <c r="I83" s="283">
        <v>0</v>
      </c>
      <c r="J83" s="283">
        <v>0</v>
      </c>
      <c r="K83" s="283">
        <v>0</v>
      </c>
      <c r="L83" s="283">
        <v>0</v>
      </c>
      <c r="M83" s="283">
        <v>0</v>
      </c>
      <c r="N83" s="283">
        <v>0</v>
      </c>
      <c r="O83" s="283">
        <v>0</v>
      </c>
      <c r="P83" s="283">
        <v>0</v>
      </c>
      <c r="Q83" s="283">
        <v>0</v>
      </c>
      <c r="R83" s="283">
        <v>0</v>
      </c>
      <c r="S83" s="283">
        <v>0</v>
      </c>
      <c r="T83" s="284">
        <f t="shared" si="3"/>
        <v>293119895</v>
      </c>
      <c r="U83" s="284">
        <f t="shared" si="3"/>
        <v>21768493</v>
      </c>
      <c r="V83" s="284">
        <f t="shared" si="4"/>
        <v>26645850</v>
      </c>
      <c r="W83" s="284">
        <f t="shared" si="5"/>
        <v>278453</v>
      </c>
    </row>
    <row r="84" spans="1:23" x14ac:dyDescent="0.2">
      <c r="A84" s="282" t="s">
        <v>12</v>
      </c>
      <c r="B84" s="282">
        <v>38001</v>
      </c>
      <c r="C84" s="283">
        <v>292365465</v>
      </c>
      <c r="D84" s="283">
        <v>145865272</v>
      </c>
      <c r="E84" s="283">
        <v>543270</v>
      </c>
      <c r="F84" s="283">
        <v>2102558</v>
      </c>
      <c r="G84" s="283">
        <v>69815451</v>
      </c>
      <c r="H84" s="283">
        <v>8829112</v>
      </c>
      <c r="I84" s="283">
        <v>1</v>
      </c>
      <c r="J84" s="283">
        <v>0</v>
      </c>
      <c r="K84" s="283">
        <v>0</v>
      </c>
      <c r="L84" s="283">
        <v>0</v>
      </c>
      <c r="M84" s="283">
        <v>0</v>
      </c>
      <c r="N84" s="283">
        <v>0</v>
      </c>
      <c r="O84" s="283">
        <v>0</v>
      </c>
      <c r="P84" s="283">
        <v>0</v>
      </c>
      <c r="Q84" s="283">
        <v>0</v>
      </c>
      <c r="R84" s="283">
        <v>0</v>
      </c>
      <c r="S84" s="283">
        <v>0</v>
      </c>
      <c r="T84" s="284">
        <f t="shared" si="3"/>
        <v>292365466</v>
      </c>
      <c r="U84" s="284">
        <f t="shared" si="3"/>
        <v>145865272</v>
      </c>
      <c r="V84" s="284">
        <f t="shared" si="4"/>
        <v>78644563</v>
      </c>
      <c r="W84" s="284">
        <f t="shared" si="5"/>
        <v>588370</v>
      </c>
    </row>
    <row r="85" spans="1:23" x14ac:dyDescent="0.2">
      <c r="A85" s="282" t="s">
        <v>37</v>
      </c>
      <c r="B85" s="282">
        <v>38002</v>
      </c>
      <c r="C85" s="283">
        <v>405333703</v>
      </c>
      <c r="D85" s="283">
        <v>116765704</v>
      </c>
      <c r="E85" s="283">
        <v>675852</v>
      </c>
      <c r="F85" s="283">
        <v>1212625</v>
      </c>
      <c r="G85" s="283">
        <v>69936600</v>
      </c>
      <c r="H85" s="283">
        <v>17949652</v>
      </c>
      <c r="I85" s="283">
        <v>0</v>
      </c>
      <c r="J85" s="283">
        <v>0</v>
      </c>
      <c r="K85" s="283">
        <v>0</v>
      </c>
      <c r="L85" s="283">
        <v>0</v>
      </c>
      <c r="M85" s="283">
        <v>0</v>
      </c>
      <c r="N85" s="283">
        <v>0</v>
      </c>
      <c r="O85" s="283">
        <v>0</v>
      </c>
      <c r="P85" s="283">
        <v>0</v>
      </c>
      <c r="Q85" s="283">
        <v>0</v>
      </c>
      <c r="R85" s="283">
        <v>0</v>
      </c>
      <c r="S85" s="283">
        <v>0</v>
      </c>
      <c r="T85" s="284">
        <f t="shared" si="3"/>
        <v>405333703</v>
      </c>
      <c r="U85" s="284">
        <f t="shared" si="3"/>
        <v>116765704</v>
      </c>
      <c r="V85" s="284">
        <f t="shared" si="4"/>
        <v>87886252</v>
      </c>
      <c r="W85" s="284">
        <f t="shared" si="5"/>
        <v>642621</v>
      </c>
    </row>
    <row r="86" spans="1:23" x14ac:dyDescent="0.2">
      <c r="A86" s="282" t="s">
        <v>80</v>
      </c>
      <c r="B86" s="282">
        <v>38003</v>
      </c>
      <c r="C86" s="283">
        <v>273823761</v>
      </c>
      <c r="D86" s="283">
        <v>78389937</v>
      </c>
      <c r="E86" s="283">
        <v>893703</v>
      </c>
      <c r="F86" s="283">
        <v>1166335</v>
      </c>
      <c r="G86" s="283">
        <v>47964176</v>
      </c>
      <c r="H86" s="283">
        <v>5855215</v>
      </c>
      <c r="I86" s="283">
        <v>0</v>
      </c>
      <c r="J86" s="283">
        <v>0</v>
      </c>
      <c r="K86" s="283">
        <v>0</v>
      </c>
      <c r="L86" s="283">
        <v>0</v>
      </c>
      <c r="M86" s="283">
        <v>0</v>
      </c>
      <c r="N86" s="283">
        <v>0</v>
      </c>
      <c r="O86" s="283">
        <v>0</v>
      </c>
      <c r="P86" s="283">
        <v>0</v>
      </c>
      <c r="Q86" s="283">
        <v>0</v>
      </c>
      <c r="R86" s="283">
        <v>0</v>
      </c>
      <c r="S86" s="283">
        <v>0</v>
      </c>
      <c r="T86" s="284">
        <f t="shared" si="3"/>
        <v>273823761</v>
      </c>
      <c r="U86" s="284">
        <f t="shared" si="3"/>
        <v>78389937</v>
      </c>
      <c r="V86" s="284">
        <f t="shared" si="4"/>
        <v>53819391</v>
      </c>
      <c r="W86" s="284">
        <f t="shared" si="5"/>
        <v>418074</v>
      </c>
    </row>
    <row r="87" spans="1:23" x14ac:dyDescent="0.2">
      <c r="A87" s="282" t="s">
        <v>33</v>
      </c>
      <c r="B87" s="282">
        <v>39001</v>
      </c>
      <c r="C87" s="283">
        <v>176841696</v>
      </c>
      <c r="D87" s="283">
        <v>224617932</v>
      </c>
      <c r="E87" s="283">
        <v>1155945</v>
      </c>
      <c r="F87" s="283">
        <v>1233561</v>
      </c>
      <c r="G87" s="283">
        <v>134707727</v>
      </c>
      <c r="H87" s="283">
        <v>5845352</v>
      </c>
      <c r="I87" s="283">
        <v>0</v>
      </c>
      <c r="J87" s="283">
        <v>0</v>
      </c>
      <c r="K87" s="283">
        <v>0</v>
      </c>
      <c r="L87" s="283">
        <v>0</v>
      </c>
      <c r="M87" s="283">
        <v>0</v>
      </c>
      <c r="N87" s="283">
        <v>0</v>
      </c>
      <c r="O87" s="283">
        <v>0</v>
      </c>
      <c r="P87" s="283">
        <v>0</v>
      </c>
      <c r="Q87" s="283">
        <v>0</v>
      </c>
      <c r="R87" s="283">
        <v>0</v>
      </c>
      <c r="S87" s="283">
        <v>0</v>
      </c>
      <c r="T87" s="284">
        <f t="shared" si="3"/>
        <v>176841696</v>
      </c>
      <c r="U87" s="284">
        <f t="shared" si="3"/>
        <v>224617932</v>
      </c>
      <c r="V87" s="284">
        <f t="shared" si="4"/>
        <v>140553079</v>
      </c>
      <c r="W87" s="284">
        <f t="shared" si="5"/>
        <v>796329</v>
      </c>
    </row>
    <row r="88" spans="1:23" x14ac:dyDescent="0.2">
      <c r="A88" s="282" t="s">
        <v>87</v>
      </c>
      <c r="B88" s="282">
        <v>39002</v>
      </c>
      <c r="C88" s="283">
        <v>324767623</v>
      </c>
      <c r="D88" s="283">
        <v>732181548</v>
      </c>
      <c r="E88" s="283">
        <v>2753077</v>
      </c>
      <c r="F88" s="283">
        <v>2822182</v>
      </c>
      <c r="G88" s="283">
        <v>363784687</v>
      </c>
      <c r="H88" s="283">
        <v>30378713</v>
      </c>
      <c r="I88" s="283">
        <v>0</v>
      </c>
      <c r="J88" s="283">
        <v>0</v>
      </c>
      <c r="K88" s="283">
        <v>0</v>
      </c>
      <c r="L88" s="283">
        <v>0</v>
      </c>
      <c r="M88" s="283">
        <v>0</v>
      </c>
      <c r="N88" s="283">
        <v>0</v>
      </c>
      <c r="O88" s="283">
        <v>0</v>
      </c>
      <c r="P88" s="283">
        <v>0</v>
      </c>
      <c r="Q88" s="283">
        <v>0</v>
      </c>
      <c r="R88" s="283">
        <v>0</v>
      </c>
      <c r="S88" s="283">
        <v>0</v>
      </c>
      <c r="T88" s="284">
        <f t="shared" si="3"/>
        <v>324767623</v>
      </c>
      <c r="U88" s="284">
        <f t="shared" si="3"/>
        <v>732181548</v>
      </c>
      <c r="V88" s="284">
        <f t="shared" si="4"/>
        <v>394163400</v>
      </c>
      <c r="W88" s="284">
        <f t="shared" si="5"/>
        <v>2267752</v>
      </c>
    </row>
    <row r="89" spans="1:23" x14ac:dyDescent="0.2">
      <c r="A89" s="282" t="s">
        <v>423</v>
      </c>
      <c r="B89" s="282">
        <v>39006</v>
      </c>
      <c r="C89" s="283">
        <v>454902496</v>
      </c>
      <c r="D89" s="283">
        <v>92027184</v>
      </c>
      <c r="E89" s="283">
        <v>241669</v>
      </c>
      <c r="F89" s="283">
        <v>886127</v>
      </c>
      <c r="G89" s="283">
        <v>17821354</v>
      </c>
      <c r="H89" s="283">
        <v>4472520</v>
      </c>
      <c r="I89" s="283">
        <v>1</v>
      </c>
      <c r="J89" s="283">
        <v>0</v>
      </c>
      <c r="K89" s="283">
        <v>0</v>
      </c>
      <c r="L89" s="283">
        <v>0</v>
      </c>
      <c r="M89" s="283">
        <v>0</v>
      </c>
      <c r="N89" s="283">
        <v>0</v>
      </c>
      <c r="O89" s="283">
        <v>0</v>
      </c>
      <c r="P89" s="283">
        <v>0</v>
      </c>
      <c r="Q89" s="283">
        <v>0</v>
      </c>
      <c r="R89" s="283">
        <v>0</v>
      </c>
      <c r="S89" s="283">
        <v>0</v>
      </c>
      <c r="T89" s="284">
        <f t="shared" si="3"/>
        <v>454902497</v>
      </c>
      <c r="U89" s="284">
        <f t="shared" si="3"/>
        <v>92027184</v>
      </c>
      <c r="V89" s="284">
        <f t="shared" si="4"/>
        <v>22293874</v>
      </c>
      <c r="W89" s="284">
        <f t="shared" si="5"/>
        <v>457328</v>
      </c>
    </row>
    <row r="90" spans="1:23" x14ac:dyDescent="0.2">
      <c r="A90" s="282" t="s">
        <v>82</v>
      </c>
      <c r="B90" s="282">
        <v>40001</v>
      </c>
      <c r="C90" s="283">
        <v>6633122</v>
      </c>
      <c r="D90" s="283">
        <v>613202698</v>
      </c>
      <c r="E90" s="283">
        <v>5085046</v>
      </c>
      <c r="F90" s="283">
        <v>10545269</v>
      </c>
      <c r="G90" s="283">
        <v>1341928538</v>
      </c>
      <c r="H90" s="283">
        <v>29780597</v>
      </c>
      <c r="I90" s="283">
        <v>0</v>
      </c>
      <c r="J90" s="283">
        <v>28</v>
      </c>
      <c r="K90" s="283">
        <v>0</v>
      </c>
      <c r="L90" s="283">
        <v>0</v>
      </c>
      <c r="M90" s="283">
        <v>15</v>
      </c>
      <c r="N90" s="283">
        <v>0</v>
      </c>
      <c r="O90" s="283">
        <v>0</v>
      </c>
      <c r="P90" s="283">
        <v>0</v>
      </c>
      <c r="Q90" s="283">
        <v>0</v>
      </c>
      <c r="R90" s="283">
        <v>0</v>
      </c>
      <c r="S90" s="283">
        <v>0</v>
      </c>
      <c r="T90" s="284">
        <f t="shared" si="3"/>
        <v>6633122</v>
      </c>
      <c r="U90" s="284">
        <f t="shared" si="3"/>
        <v>613202726</v>
      </c>
      <c r="V90" s="284">
        <f t="shared" si="4"/>
        <v>1371709150</v>
      </c>
      <c r="W90" s="284">
        <f t="shared" si="5"/>
        <v>4627733</v>
      </c>
    </row>
    <row r="91" spans="1:23" x14ac:dyDescent="0.2">
      <c r="A91" s="282" t="s">
        <v>116</v>
      </c>
      <c r="B91" s="282">
        <v>40002</v>
      </c>
      <c r="C91" s="283">
        <v>50366918</v>
      </c>
      <c r="D91" s="283">
        <v>1761555835</v>
      </c>
      <c r="E91" s="283">
        <v>17010933</v>
      </c>
      <c r="F91" s="283">
        <v>47628618</v>
      </c>
      <c r="G91" s="283">
        <v>828872732</v>
      </c>
      <c r="H91" s="283">
        <v>33714084</v>
      </c>
      <c r="I91" s="283">
        <v>0</v>
      </c>
      <c r="J91" s="283">
        <v>12</v>
      </c>
      <c r="K91" s="283">
        <v>0</v>
      </c>
      <c r="L91" s="283">
        <v>0</v>
      </c>
      <c r="M91" s="283">
        <v>0</v>
      </c>
      <c r="N91" s="283">
        <v>0</v>
      </c>
      <c r="O91" s="283">
        <v>0</v>
      </c>
      <c r="P91" s="283">
        <v>0</v>
      </c>
      <c r="Q91" s="283">
        <v>0</v>
      </c>
      <c r="R91" s="283">
        <v>0</v>
      </c>
      <c r="S91" s="283">
        <v>0</v>
      </c>
      <c r="T91" s="284">
        <f t="shared" si="3"/>
        <v>50366918</v>
      </c>
      <c r="U91" s="284">
        <f t="shared" si="3"/>
        <v>1761555847</v>
      </c>
      <c r="V91" s="284">
        <f t="shared" si="4"/>
        <v>862586816</v>
      </c>
      <c r="W91" s="284">
        <f t="shared" si="5"/>
        <v>4780839</v>
      </c>
    </row>
    <row r="92" spans="1:23" x14ac:dyDescent="0.2">
      <c r="A92" s="282" t="s">
        <v>29</v>
      </c>
      <c r="B92" s="282">
        <v>41001</v>
      </c>
      <c r="C92" s="283">
        <v>302311381</v>
      </c>
      <c r="D92" s="283">
        <v>588287103</v>
      </c>
      <c r="E92" s="283">
        <v>276786</v>
      </c>
      <c r="F92" s="283">
        <v>1385415</v>
      </c>
      <c r="G92" s="283">
        <v>177021535</v>
      </c>
      <c r="H92" s="283">
        <v>20776765</v>
      </c>
      <c r="I92" s="283">
        <v>0</v>
      </c>
      <c r="J92" s="283">
        <v>0</v>
      </c>
      <c r="K92" s="283">
        <v>0</v>
      </c>
      <c r="L92" s="283">
        <v>0</v>
      </c>
      <c r="M92" s="283">
        <v>0</v>
      </c>
      <c r="N92" s="283">
        <v>0</v>
      </c>
      <c r="O92" s="283">
        <v>0</v>
      </c>
      <c r="P92" s="283">
        <v>0</v>
      </c>
      <c r="Q92" s="283">
        <v>0</v>
      </c>
      <c r="R92" s="283">
        <v>0</v>
      </c>
      <c r="S92" s="283">
        <v>0</v>
      </c>
      <c r="T92" s="284">
        <f t="shared" si="3"/>
        <v>302311381</v>
      </c>
      <c r="U92" s="284">
        <f t="shared" si="3"/>
        <v>588287103</v>
      </c>
      <c r="V92" s="284">
        <f t="shared" si="4"/>
        <v>197798300</v>
      </c>
      <c r="W92" s="284">
        <f t="shared" si="5"/>
        <v>1517241</v>
      </c>
    </row>
    <row r="93" spans="1:23" x14ac:dyDescent="0.2">
      <c r="A93" s="282" t="s">
        <v>67</v>
      </c>
      <c r="B93" s="282">
        <v>41002</v>
      </c>
      <c r="C93" s="283">
        <v>80657925</v>
      </c>
      <c r="D93" s="283">
        <v>3786121111</v>
      </c>
      <c r="E93" s="283">
        <v>1564276</v>
      </c>
      <c r="F93" s="283">
        <v>11159264</v>
      </c>
      <c r="G93" s="283">
        <v>1703425839</v>
      </c>
      <c r="H93" s="283">
        <v>48620873</v>
      </c>
      <c r="I93" s="283">
        <v>0</v>
      </c>
      <c r="J93" s="283">
        <v>0</v>
      </c>
      <c r="K93" s="283">
        <v>0</v>
      </c>
      <c r="L93" s="283">
        <v>0</v>
      </c>
      <c r="M93" s="283">
        <v>582699</v>
      </c>
      <c r="N93" s="283">
        <v>0</v>
      </c>
      <c r="O93" s="283">
        <v>0</v>
      </c>
      <c r="P93" s="283">
        <v>0</v>
      </c>
      <c r="Q93" s="283">
        <v>0</v>
      </c>
      <c r="R93" s="283">
        <v>0</v>
      </c>
      <c r="S93" s="283">
        <v>0</v>
      </c>
      <c r="T93" s="284">
        <f t="shared" si="3"/>
        <v>80657925</v>
      </c>
      <c r="U93" s="284">
        <f t="shared" si="3"/>
        <v>3786121111</v>
      </c>
      <c r="V93" s="284">
        <f t="shared" si="4"/>
        <v>1752629411</v>
      </c>
      <c r="W93" s="284">
        <f t="shared" si="5"/>
        <v>9978072</v>
      </c>
    </row>
    <row r="94" spans="1:23" x14ac:dyDescent="0.2">
      <c r="A94" s="282" t="s">
        <v>84</v>
      </c>
      <c r="B94" s="282">
        <v>41004</v>
      </c>
      <c r="C94" s="283">
        <v>272675857</v>
      </c>
      <c r="D94" s="283">
        <v>589754836</v>
      </c>
      <c r="E94" s="283">
        <v>1084573</v>
      </c>
      <c r="F94" s="283">
        <v>6307476</v>
      </c>
      <c r="G94" s="283">
        <v>211143520</v>
      </c>
      <c r="H94" s="283">
        <v>20392048</v>
      </c>
      <c r="I94" s="283">
        <v>3</v>
      </c>
      <c r="J94" s="283">
        <v>0</v>
      </c>
      <c r="K94" s="283">
        <v>0</v>
      </c>
      <c r="L94" s="283">
        <v>0</v>
      </c>
      <c r="M94" s="283">
        <v>574482</v>
      </c>
      <c r="N94" s="283">
        <v>0</v>
      </c>
      <c r="O94" s="283">
        <v>0</v>
      </c>
      <c r="P94" s="283">
        <v>0</v>
      </c>
      <c r="Q94" s="283">
        <v>0</v>
      </c>
      <c r="R94" s="283">
        <v>0</v>
      </c>
      <c r="S94" s="283">
        <v>0</v>
      </c>
      <c r="T94" s="284">
        <f t="shared" si="3"/>
        <v>272675860</v>
      </c>
      <c r="U94" s="284">
        <f t="shared" si="3"/>
        <v>589754836</v>
      </c>
      <c r="V94" s="284">
        <f t="shared" si="4"/>
        <v>232110050</v>
      </c>
      <c r="W94" s="284">
        <f t="shared" si="5"/>
        <v>1596582</v>
      </c>
    </row>
    <row r="95" spans="1:23" x14ac:dyDescent="0.2">
      <c r="A95" s="282" t="s">
        <v>119</v>
      </c>
      <c r="B95" s="282">
        <v>41005</v>
      </c>
      <c r="C95" s="283">
        <v>24100192</v>
      </c>
      <c r="D95" s="283">
        <v>974320854</v>
      </c>
      <c r="E95" s="283">
        <v>0</v>
      </c>
      <c r="F95" s="283">
        <v>440519</v>
      </c>
      <c r="G95" s="283">
        <v>487879541</v>
      </c>
      <c r="H95" s="283">
        <v>5904427</v>
      </c>
      <c r="I95" s="283">
        <v>0</v>
      </c>
      <c r="J95" s="283">
        <v>0</v>
      </c>
      <c r="K95" s="283">
        <v>0</v>
      </c>
      <c r="L95" s="283">
        <v>0</v>
      </c>
      <c r="M95" s="283">
        <v>0</v>
      </c>
      <c r="N95" s="283">
        <v>0</v>
      </c>
      <c r="O95" s="283">
        <v>0</v>
      </c>
      <c r="P95" s="283">
        <v>0</v>
      </c>
      <c r="Q95" s="283">
        <v>0</v>
      </c>
      <c r="R95" s="283">
        <v>0</v>
      </c>
      <c r="S95" s="283">
        <v>0</v>
      </c>
      <c r="T95" s="284">
        <f t="shared" si="3"/>
        <v>24100192</v>
      </c>
      <c r="U95" s="284">
        <f t="shared" si="3"/>
        <v>974320854</v>
      </c>
      <c r="V95" s="284">
        <f t="shared" si="4"/>
        <v>493783968</v>
      </c>
      <c r="W95" s="284">
        <f t="shared" si="5"/>
        <v>2688296</v>
      </c>
    </row>
    <row r="96" spans="1:23" x14ac:dyDescent="0.2">
      <c r="A96" s="282" t="s">
        <v>86</v>
      </c>
      <c r="B96" s="282">
        <v>42001</v>
      </c>
      <c r="C96" s="283">
        <v>590081237</v>
      </c>
      <c r="D96" s="283">
        <v>53636696</v>
      </c>
      <c r="E96" s="283">
        <v>2166657</v>
      </c>
      <c r="F96" s="283">
        <v>4675824</v>
      </c>
      <c r="G96" s="283">
        <v>56381158</v>
      </c>
      <c r="H96" s="283">
        <v>11237</v>
      </c>
      <c r="I96" s="283">
        <v>0</v>
      </c>
      <c r="J96" s="283">
        <v>0</v>
      </c>
      <c r="K96" s="283">
        <v>0</v>
      </c>
      <c r="L96" s="283">
        <v>0</v>
      </c>
      <c r="M96" s="283">
        <v>0</v>
      </c>
      <c r="N96" s="283">
        <v>0</v>
      </c>
      <c r="O96" s="283">
        <v>0</v>
      </c>
      <c r="P96" s="283">
        <v>0</v>
      </c>
      <c r="Q96" s="283">
        <v>0</v>
      </c>
      <c r="R96" s="283">
        <v>0</v>
      </c>
      <c r="S96" s="283">
        <v>0</v>
      </c>
      <c r="T96" s="284">
        <f t="shared" si="3"/>
        <v>590081237</v>
      </c>
      <c r="U96" s="284">
        <f t="shared" si="3"/>
        <v>53636696</v>
      </c>
      <c r="V96" s="284">
        <f t="shared" si="4"/>
        <v>56392395</v>
      </c>
      <c r="W96" s="284">
        <f t="shared" si="5"/>
        <v>581330</v>
      </c>
    </row>
    <row r="97" spans="1:23" x14ac:dyDescent="0.2">
      <c r="A97" s="282" t="s">
        <v>28</v>
      </c>
      <c r="B97" s="282">
        <v>43001</v>
      </c>
      <c r="C97" s="283">
        <v>153539322</v>
      </c>
      <c r="D97" s="283">
        <v>83386060</v>
      </c>
      <c r="E97" s="283">
        <v>451269</v>
      </c>
      <c r="F97" s="283">
        <v>1482804</v>
      </c>
      <c r="G97" s="283">
        <v>22792259</v>
      </c>
      <c r="H97" s="283">
        <v>3875682</v>
      </c>
      <c r="I97" s="283">
        <v>0</v>
      </c>
      <c r="J97" s="283">
        <v>0</v>
      </c>
      <c r="K97" s="283">
        <v>0</v>
      </c>
      <c r="L97" s="283">
        <v>0</v>
      </c>
      <c r="M97" s="283">
        <v>0</v>
      </c>
      <c r="N97" s="283">
        <v>0</v>
      </c>
      <c r="O97" s="283">
        <v>0</v>
      </c>
      <c r="P97" s="283">
        <v>0</v>
      </c>
      <c r="Q97" s="283">
        <v>0</v>
      </c>
      <c r="R97" s="283">
        <v>0</v>
      </c>
      <c r="S97" s="283">
        <v>0</v>
      </c>
      <c r="T97" s="284">
        <f t="shared" si="3"/>
        <v>153539322</v>
      </c>
      <c r="U97" s="284">
        <f t="shared" si="3"/>
        <v>83386060</v>
      </c>
      <c r="V97" s="284">
        <f t="shared" si="4"/>
        <v>26667941</v>
      </c>
      <c r="W97" s="284">
        <f t="shared" si="5"/>
        <v>277512</v>
      </c>
    </row>
    <row r="98" spans="1:23" x14ac:dyDescent="0.2">
      <c r="A98" s="282" t="s">
        <v>96</v>
      </c>
      <c r="B98" s="282">
        <v>43002</v>
      </c>
      <c r="C98" s="283">
        <v>160478214</v>
      </c>
      <c r="D98" s="283">
        <v>64492493</v>
      </c>
      <c r="E98" s="283">
        <v>104104</v>
      </c>
      <c r="F98" s="283">
        <v>974162</v>
      </c>
      <c r="G98" s="283">
        <v>11431400</v>
      </c>
      <c r="H98" s="283">
        <v>9384131</v>
      </c>
      <c r="I98" s="283">
        <v>0</v>
      </c>
      <c r="J98" s="283">
        <v>0</v>
      </c>
      <c r="K98" s="283">
        <v>0</v>
      </c>
      <c r="L98" s="283">
        <v>0</v>
      </c>
      <c r="M98" s="283">
        <v>0</v>
      </c>
      <c r="N98" s="283">
        <v>0</v>
      </c>
      <c r="O98" s="283">
        <v>0</v>
      </c>
      <c r="P98" s="283">
        <v>0</v>
      </c>
      <c r="Q98" s="283">
        <v>0</v>
      </c>
      <c r="R98" s="283">
        <v>0</v>
      </c>
      <c r="S98" s="283">
        <v>0</v>
      </c>
      <c r="T98" s="284">
        <f t="shared" si="3"/>
        <v>160478214</v>
      </c>
      <c r="U98" s="284">
        <f t="shared" si="3"/>
        <v>64492493</v>
      </c>
      <c r="V98" s="284">
        <f t="shared" si="4"/>
        <v>20815531</v>
      </c>
      <c r="W98" s="284">
        <f t="shared" si="5"/>
        <v>240135</v>
      </c>
    </row>
    <row r="99" spans="1:23" x14ac:dyDescent="0.2">
      <c r="A99" s="282" t="s">
        <v>475</v>
      </c>
      <c r="B99" s="282">
        <v>43007</v>
      </c>
      <c r="C99" s="283">
        <v>321143707</v>
      </c>
      <c r="D99" s="283">
        <v>109298423</v>
      </c>
      <c r="E99" s="283">
        <v>368277</v>
      </c>
      <c r="F99" s="283">
        <v>1124578</v>
      </c>
      <c r="G99" s="283">
        <v>44851606</v>
      </c>
      <c r="H99" s="283">
        <v>5500729</v>
      </c>
      <c r="I99" s="283">
        <v>0</v>
      </c>
      <c r="J99" s="283">
        <v>0</v>
      </c>
      <c r="K99" s="283">
        <v>0</v>
      </c>
      <c r="L99" s="283">
        <v>0</v>
      </c>
      <c r="M99" s="283">
        <v>0</v>
      </c>
      <c r="N99" s="283">
        <v>0</v>
      </c>
      <c r="O99" s="283">
        <v>0</v>
      </c>
      <c r="P99" s="283">
        <v>0</v>
      </c>
      <c r="Q99" s="283">
        <v>0</v>
      </c>
      <c r="R99" s="283">
        <v>0</v>
      </c>
      <c r="S99" s="283">
        <v>0</v>
      </c>
      <c r="T99" s="284">
        <f t="shared" si="3"/>
        <v>321143707</v>
      </c>
      <c r="U99" s="284">
        <f t="shared" si="3"/>
        <v>109298423</v>
      </c>
      <c r="V99" s="284">
        <f t="shared" si="4"/>
        <v>50352335</v>
      </c>
      <c r="W99" s="284">
        <f t="shared" si="5"/>
        <v>478186</v>
      </c>
    </row>
    <row r="100" spans="1:23" x14ac:dyDescent="0.2">
      <c r="A100" s="282" t="s">
        <v>52</v>
      </c>
      <c r="B100" s="282">
        <v>44001</v>
      </c>
      <c r="C100" s="283">
        <v>435671220</v>
      </c>
      <c r="D100" s="283">
        <v>37537448</v>
      </c>
      <c r="E100" s="283">
        <v>315116</v>
      </c>
      <c r="F100" s="283">
        <v>2318984</v>
      </c>
      <c r="G100" s="283">
        <v>19141690</v>
      </c>
      <c r="H100" s="283">
        <v>35617748</v>
      </c>
      <c r="I100" s="283">
        <v>0</v>
      </c>
      <c r="J100" s="283">
        <v>0</v>
      </c>
      <c r="K100" s="283">
        <v>0</v>
      </c>
      <c r="L100" s="283">
        <v>0</v>
      </c>
      <c r="M100" s="283">
        <v>0</v>
      </c>
      <c r="N100" s="283">
        <v>0</v>
      </c>
      <c r="O100" s="283">
        <v>0</v>
      </c>
      <c r="P100" s="283">
        <v>0</v>
      </c>
      <c r="Q100" s="283">
        <v>0</v>
      </c>
      <c r="R100" s="283">
        <v>0</v>
      </c>
      <c r="S100" s="283">
        <v>0</v>
      </c>
      <c r="T100" s="284">
        <f t="shared" si="3"/>
        <v>435671220</v>
      </c>
      <c r="U100" s="284">
        <f t="shared" si="3"/>
        <v>37537448</v>
      </c>
      <c r="V100" s="284">
        <f t="shared" si="4"/>
        <v>54759438</v>
      </c>
      <c r="W100" s="284">
        <f t="shared" si="5"/>
        <v>462824</v>
      </c>
    </row>
    <row r="101" spans="1:23" x14ac:dyDescent="0.2">
      <c r="A101" s="282" t="s">
        <v>85</v>
      </c>
      <c r="B101" s="282">
        <v>44002</v>
      </c>
      <c r="C101" s="283">
        <v>363990514</v>
      </c>
      <c r="D101" s="283">
        <v>34624783</v>
      </c>
      <c r="E101" s="283">
        <v>329878</v>
      </c>
      <c r="F101" s="283">
        <v>2712638</v>
      </c>
      <c r="G101" s="283">
        <v>11657655</v>
      </c>
      <c r="H101" s="283">
        <v>15823158</v>
      </c>
      <c r="I101" s="283">
        <v>0</v>
      </c>
      <c r="J101" s="283">
        <v>0</v>
      </c>
      <c r="K101" s="283">
        <v>0</v>
      </c>
      <c r="L101" s="283">
        <v>0</v>
      </c>
      <c r="M101" s="283">
        <v>0</v>
      </c>
      <c r="N101" s="283">
        <v>0</v>
      </c>
      <c r="O101" s="283">
        <v>0</v>
      </c>
      <c r="P101" s="283">
        <v>0</v>
      </c>
      <c r="Q101" s="283">
        <v>0</v>
      </c>
      <c r="R101" s="283">
        <v>0</v>
      </c>
      <c r="S101" s="283">
        <v>0</v>
      </c>
      <c r="T101" s="284">
        <f t="shared" si="3"/>
        <v>363990514</v>
      </c>
      <c r="U101" s="284">
        <f t="shared" si="3"/>
        <v>34624783</v>
      </c>
      <c r="V101" s="284">
        <f t="shared" si="4"/>
        <v>27480813</v>
      </c>
      <c r="W101" s="284">
        <f t="shared" si="5"/>
        <v>340405</v>
      </c>
    </row>
    <row r="102" spans="1:23" x14ac:dyDescent="0.2">
      <c r="A102" s="282" t="s">
        <v>25</v>
      </c>
      <c r="B102" s="282">
        <v>45004</v>
      </c>
      <c r="C102" s="283">
        <v>681842277</v>
      </c>
      <c r="D102" s="283">
        <v>178857019</v>
      </c>
      <c r="E102" s="283">
        <v>1243039</v>
      </c>
      <c r="F102" s="283">
        <v>3518909</v>
      </c>
      <c r="G102" s="283">
        <v>111307879</v>
      </c>
      <c r="H102" s="283">
        <v>18360320</v>
      </c>
      <c r="I102" s="283">
        <v>0</v>
      </c>
      <c r="J102" s="283">
        <v>0</v>
      </c>
      <c r="K102" s="283">
        <v>0</v>
      </c>
      <c r="L102" s="283">
        <v>0</v>
      </c>
      <c r="M102" s="283">
        <v>0</v>
      </c>
      <c r="N102" s="283">
        <v>0</v>
      </c>
      <c r="O102" s="283">
        <v>0</v>
      </c>
      <c r="P102" s="283">
        <v>0</v>
      </c>
      <c r="Q102" s="283">
        <v>0</v>
      </c>
      <c r="R102" s="283">
        <v>0</v>
      </c>
      <c r="S102" s="283">
        <v>0</v>
      </c>
      <c r="T102" s="284">
        <f t="shared" si="3"/>
        <v>681842277</v>
      </c>
      <c r="U102" s="284">
        <f t="shared" si="3"/>
        <v>178857019</v>
      </c>
      <c r="V102" s="284">
        <f t="shared" si="4"/>
        <v>129668199</v>
      </c>
      <c r="W102" s="284">
        <f t="shared" si="5"/>
        <v>1007102</v>
      </c>
    </row>
    <row r="103" spans="1:23" x14ac:dyDescent="0.2">
      <c r="A103" s="282" t="s">
        <v>81</v>
      </c>
      <c r="B103" s="282">
        <v>45005</v>
      </c>
      <c r="C103" s="283">
        <v>461580109</v>
      </c>
      <c r="D103" s="283">
        <v>68521056</v>
      </c>
      <c r="E103" s="283">
        <v>730136</v>
      </c>
      <c r="F103" s="283">
        <v>1653661</v>
      </c>
      <c r="G103" s="283">
        <v>25574904</v>
      </c>
      <c r="H103" s="283">
        <v>13079566</v>
      </c>
      <c r="I103" s="283">
        <v>0</v>
      </c>
      <c r="J103" s="283">
        <v>0</v>
      </c>
      <c r="K103" s="283">
        <v>0</v>
      </c>
      <c r="L103" s="283">
        <v>0</v>
      </c>
      <c r="M103" s="283">
        <v>0</v>
      </c>
      <c r="N103" s="283">
        <v>0</v>
      </c>
      <c r="O103" s="283">
        <v>0</v>
      </c>
      <c r="P103" s="283">
        <v>0</v>
      </c>
      <c r="Q103" s="283">
        <v>0</v>
      </c>
      <c r="R103" s="283">
        <v>0</v>
      </c>
      <c r="S103" s="283">
        <v>0</v>
      </c>
      <c r="T103" s="284">
        <f t="shared" si="3"/>
        <v>461580109</v>
      </c>
      <c r="U103" s="284">
        <f t="shared" si="3"/>
        <v>68521056</v>
      </c>
      <c r="V103" s="284">
        <f t="shared" si="4"/>
        <v>38654470</v>
      </c>
      <c r="W103" s="284">
        <f t="shared" si="5"/>
        <v>475190</v>
      </c>
    </row>
    <row r="104" spans="1:23" x14ac:dyDescent="0.2">
      <c r="A104" s="282" t="s">
        <v>91</v>
      </c>
      <c r="B104" s="282">
        <v>46001</v>
      </c>
      <c r="C104" s="283">
        <v>479993581</v>
      </c>
      <c r="D104" s="283">
        <v>1711316401</v>
      </c>
      <c r="E104" s="283">
        <v>20841867</v>
      </c>
      <c r="F104" s="283">
        <v>73001507</v>
      </c>
      <c r="G104" s="283">
        <v>763669154</v>
      </c>
      <c r="H104" s="283">
        <v>28389206</v>
      </c>
      <c r="I104" s="283">
        <v>0</v>
      </c>
      <c r="J104" s="283">
        <v>0</v>
      </c>
      <c r="K104" s="283">
        <v>0</v>
      </c>
      <c r="L104" s="283">
        <v>0</v>
      </c>
      <c r="M104" s="283">
        <v>2</v>
      </c>
      <c r="N104" s="283">
        <v>0</v>
      </c>
      <c r="O104" s="283">
        <v>41083349</v>
      </c>
      <c r="P104" s="283">
        <v>0</v>
      </c>
      <c r="Q104" s="283">
        <v>0</v>
      </c>
      <c r="R104" s="283">
        <v>7916461</v>
      </c>
      <c r="S104" s="283">
        <v>0</v>
      </c>
      <c r="T104" s="284">
        <f t="shared" si="3"/>
        <v>479993581</v>
      </c>
      <c r="U104" s="284">
        <f t="shared" si="3"/>
        <v>1752399750</v>
      </c>
      <c r="V104" s="284">
        <f t="shared" si="4"/>
        <v>799974823</v>
      </c>
      <c r="W104" s="284">
        <f t="shared" si="5"/>
        <v>4852146</v>
      </c>
    </row>
    <row r="105" spans="1:23" x14ac:dyDescent="0.2">
      <c r="A105" s="282" t="s">
        <v>53</v>
      </c>
      <c r="B105" s="282">
        <v>46002</v>
      </c>
      <c r="C105" s="283">
        <v>111304644</v>
      </c>
      <c r="D105" s="283">
        <v>19611079</v>
      </c>
      <c r="E105" s="283">
        <v>1487099</v>
      </c>
      <c r="F105" s="283">
        <v>3776399</v>
      </c>
      <c r="G105" s="283">
        <v>13540053</v>
      </c>
      <c r="H105" s="283">
        <v>512</v>
      </c>
      <c r="I105" s="283">
        <v>1245584</v>
      </c>
      <c r="J105" s="283">
        <v>0</v>
      </c>
      <c r="K105" s="283">
        <v>0</v>
      </c>
      <c r="L105" s="283">
        <v>0</v>
      </c>
      <c r="M105" s="283">
        <v>17867672</v>
      </c>
      <c r="N105" s="283">
        <v>0</v>
      </c>
      <c r="O105" s="283">
        <v>0</v>
      </c>
      <c r="P105" s="283">
        <v>0</v>
      </c>
      <c r="Q105" s="283">
        <v>0</v>
      </c>
      <c r="R105" s="283">
        <v>0</v>
      </c>
      <c r="S105" s="283">
        <v>0</v>
      </c>
      <c r="T105" s="284">
        <f t="shared" si="3"/>
        <v>112550228</v>
      </c>
      <c r="U105" s="284">
        <f t="shared" si="3"/>
        <v>19611079</v>
      </c>
      <c r="V105" s="284">
        <f t="shared" si="4"/>
        <v>31408237</v>
      </c>
      <c r="W105" s="284">
        <f t="shared" si="5"/>
        <v>180694</v>
      </c>
    </row>
    <row r="106" spans="1:23" x14ac:dyDescent="0.2">
      <c r="A106" s="282" t="s">
        <v>134</v>
      </c>
      <c r="B106" s="282">
        <v>47001</v>
      </c>
      <c r="C106" s="283">
        <v>231865954</v>
      </c>
      <c r="D106" s="283">
        <v>20242092</v>
      </c>
      <c r="E106" s="283">
        <v>952959</v>
      </c>
      <c r="F106" s="283">
        <v>3595321</v>
      </c>
      <c r="G106" s="283">
        <v>15420215</v>
      </c>
      <c r="H106" s="283">
        <v>85151</v>
      </c>
      <c r="I106" s="283">
        <v>0</v>
      </c>
      <c r="J106" s="283">
        <v>0</v>
      </c>
      <c r="K106" s="283">
        <v>0</v>
      </c>
      <c r="L106" s="283">
        <v>0</v>
      </c>
      <c r="M106" s="283">
        <v>0</v>
      </c>
      <c r="N106" s="283">
        <v>0</v>
      </c>
      <c r="O106" s="283">
        <v>0</v>
      </c>
      <c r="P106" s="283">
        <v>0</v>
      </c>
      <c r="Q106" s="283">
        <v>0</v>
      </c>
      <c r="R106" s="283">
        <v>0</v>
      </c>
      <c r="S106" s="283">
        <v>0</v>
      </c>
      <c r="T106" s="284">
        <f t="shared" si="3"/>
        <v>231865954</v>
      </c>
      <c r="U106" s="284">
        <f t="shared" si="3"/>
        <v>20242092</v>
      </c>
      <c r="V106" s="284">
        <f t="shared" si="4"/>
        <v>15505366</v>
      </c>
      <c r="W106" s="284">
        <f t="shared" si="5"/>
        <v>208867</v>
      </c>
    </row>
    <row r="107" spans="1:23" x14ac:dyDescent="0.2">
      <c r="A107" s="282" t="s">
        <v>73</v>
      </c>
      <c r="B107" s="282">
        <v>48003</v>
      </c>
      <c r="C107" s="283">
        <v>619495044</v>
      </c>
      <c r="D107" s="283">
        <v>88326767</v>
      </c>
      <c r="E107" s="283">
        <v>166682</v>
      </c>
      <c r="F107" s="283">
        <v>825490</v>
      </c>
      <c r="G107" s="283">
        <v>42847065</v>
      </c>
      <c r="H107" s="283">
        <v>58419231</v>
      </c>
      <c r="I107" s="283">
        <v>0</v>
      </c>
      <c r="J107" s="283">
        <v>0</v>
      </c>
      <c r="K107" s="283">
        <v>0</v>
      </c>
      <c r="L107" s="283">
        <v>0</v>
      </c>
      <c r="M107" s="283">
        <v>0</v>
      </c>
      <c r="N107" s="283">
        <v>0</v>
      </c>
      <c r="O107" s="283">
        <v>0</v>
      </c>
      <c r="P107" s="283">
        <v>0</v>
      </c>
      <c r="Q107" s="283">
        <v>0</v>
      </c>
      <c r="R107" s="283">
        <v>0</v>
      </c>
      <c r="S107" s="283">
        <v>0</v>
      </c>
      <c r="T107" s="284">
        <f t="shared" si="3"/>
        <v>619495044</v>
      </c>
      <c r="U107" s="284">
        <f t="shared" si="3"/>
        <v>88326767</v>
      </c>
      <c r="V107" s="284">
        <f t="shared" si="4"/>
        <v>101266296</v>
      </c>
      <c r="W107" s="284">
        <f t="shared" si="5"/>
        <v>769792</v>
      </c>
    </row>
    <row r="108" spans="1:23" x14ac:dyDescent="0.2">
      <c r="A108" s="282" t="s">
        <v>15</v>
      </c>
      <c r="B108" s="282">
        <v>49001</v>
      </c>
      <c r="C108" s="283">
        <v>74545400</v>
      </c>
      <c r="D108" s="283">
        <v>243462800</v>
      </c>
      <c r="E108" s="283">
        <v>610400</v>
      </c>
      <c r="F108" s="283">
        <v>476900</v>
      </c>
      <c r="G108" s="283">
        <v>43759600</v>
      </c>
      <c r="H108" s="283">
        <v>2800395</v>
      </c>
      <c r="I108" s="283">
        <v>0</v>
      </c>
      <c r="J108" s="283">
        <v>0</v>
      </c>
      <c r="K108" s="283">
        <v>0</v>
      </c>
      <c r="L108" s="283">
        <v>0</v>
      </c>
      <c r="M108" s="283">
        <v>0</v>
      </c>
      <c r="N108" s="283">
        <v>0</v>
      </c>
      <c r="O108" s="283">
        <v>0</v>
      </c>
      <c r="P108" s="283">
        <v>0</v>
      </c>
      <c r="Q108" s="283">
        <v>0</v>
      </c>
      <c r="R108" s="283">
        <v>0</v>
      </c>
      <c r="S108" s="283">
        <v>0</v>
      </c>
      <c r="T108" s="284">
        <f t="shared" si="3"/>
        <v>74545400</v>
      </c>
      <c r="U108" s="284">
        <f t="shared" si="3"/>
        <v>243462800</v>
      </c>
      <c r="V108" s="284">
        <f t="shared" si="4"/>
        <v>46559995</v>
      </c>
      <c r="W108" s="284">
        <f t="shared" si="5"/>
        <v>499798</v>
      </c>
    </row>
    <row r="109" spans="1:23" x14ac:dyDescent="0.2">
      <c r="A109" s="282" t="s">
        <v>23</v>
      </c>
      <c r="B109" s="282">
        <v>49002</v>
      </c>
      <c r="C109" s="283">
        <v>136333800</v>
      </c>
      <c r="D109" s="283">
        <v>3013271500</v>
      </c>
      <c r="E109" s="283">
        <v>2224600</v>
      </c>
      <c r="F109" s="283">
        <v>5488500</v>
      </c>
      <c r="G109" s="283">
        <v>833765200</v>
      </c>
      <c r="H109" s="283">
        <v>61032118</v>
      </c>
      <c r="I109" s="283">
        <v>0</v>
      </c>
      <c r="J109" s="283">
        <v>0</v>
      </c>
      <c r="K109" s="283">
        <v>0</v>
      </c>
      <c r="L109" s="283">
        <v>0</v>
      </c>
      <c r="M109" s="283">
        <v>195334</v>
      </c>
      <c r="N109" s="283">
        <v>0</v>
      </c>
      <c r="O109" s="283">
        <v>0</v>
      </c>
      <c r="P109" s="283">
        <v>0</v>
      </c>
      <c r="Q109" s="283">
        <v>0</v>
      </c>
      <c r="R109" s="283">
        <v>0</v>
      </c>
      <c r="S109" s="283">
        <v>0</v>
      </c>
      <c r="T109" s="284">
        <f t="shared" si="3"/>
        <v>136333800</v>
      </c>
      <c r="U109" s="284">
        <f t="shared" si="3"/>
        <v>3013271500</v>
      </c>
      <c r="V109" s="284">
        <f t="shared" si="4"/>
        <v>894992652</v>
      </c>
      <c r="W109" s="284">
        <f t="shared" si="5"/>
        <v>6598793</v>
      </c>
    </row>
    <row r="110" spans="1:23" x14ac:dyDescent="0.2">
      <c r="A110" s="282" t="s">
        <v>38</v>
      </c>
      <c r="B110" s="282">
        <v>49003</v>
      </c>
      <c r="C110" s="283">
        <v>274689344</v>
      </c>
      <c r="D110" s="283">
        <v>550659901</v>
      </c>
      <c r="E110" s="283">
        <v>481855</v>
      </c>
      <c r="F110" s="283">
        <v>1474838</v>
      </c>
      <c r="G110" s="283">
        <v>127066142</v>
      </c>
      <c r="H110" s="283">
        <v>5257136</v>
      </c>
      <c r="I110" s="283">
        <v>0</v>
      </c>
      <c r="J110" s="283">
        <v>0</v>
      </c>
      <c r="K110" s="283">
        <v>0</v>
      </c>
      <c r="L110" s="283">
        <v>0</v>
      </c>
      <c r="M110" s="283">
        <v>6730990</v>
      </c>
      <c r="N110" s="283">
        <v>0</v>
      </c>
      <c r="O110" s="283">
        <v>0</v>
      </c>
      <c r="P110" s="283">
        <v>0</v>
      </c>
      <c r="Q110" s="283">
        <v>0</v>
      </c>
      <c r="R110" s="283">
        <v>0</v>
      </c>
      <c r="S110" s="283">
        <v>0</v>
      </c>
      <c r="T110" s="284">
        <f t="shared" si="3"/>
        <v>274689344</v>
      </c>
      <c r="U110" s="284">
        <f t="shared" si="3"/>
        <v>550659901</v>
      </c>
      <c r="V110" s="284">
        <f t="shared" si="4"/>
        <v>139054268</v>
      </c>
      <c r="W110" s="284">
        <f t="shared" si="5"/>
        <v>1287469</v>
      </c>
    </row>
    <row r="111" spans="1:23" x14ac:dyDescent="0.2">
      <c r="A111" s="282" t="s">
        <v>58</v>
      </c>
      <c r="B111" s="282">
        <v>49004</v>
      </c>
      <c r="C111" s="283">
        <v>128799000</v>
      </c>
      <c r="D111" s="283">
        <v>277360800</v>
      </c>
      <c r="E111" s="283">
        <v>561700</v>
      </c>
      <c r="F111" s="283">
        <v>1818300</v>
      </c>
      <c r="G111" s="283">
        <v>45077700</v>
      </c>
      <c r="H111" s="283">
        <v>9416431</v>
      </c>
      <c r="I111" s="283">
        <v>0</v>
      </c>
      <c r="J111" s="283">
        <v>0</v>
      </c>
      <c r="K111" s="283">
        <v>0</v>
      </c>
      <c r="L111" s="283">
        <v>0</v>
      </c>
      <c r="M111" s="283">
        <v>666353</v>
      </c>
      <c r="N111" s="283">
        <v>0</v>
      </c>
      <c r="O111" s="283">
        <v>0</v>
      </c>
      <c r="P111" s="283">
        <v>0</v>
      </c>
      <c r="Q111" s="283">
        <v>0</v>
      </c>
      <c r="R111" s="283">
        <v>0</v>
      </c>
      <c r="S111" s="283">
        <v>0</v>
      </c>
      <c r="T111" s="284">
        <f t="shared" si="3"/>
        <v>128799000</v>
      </c>
      <c r="U111" s="284">
        <f t="shared" si="3"/>
        <v>277360800</v>
      </c>
      <c r="V111" s="284">
        <f t="shared" si="4"/>
        <v>55160484</v>
      </c>
      <c r="W111" s="284">
        <f t="shared" si="5"/>
        <v>601516</v>
      </c>
    </row>
    <row r="112" spans="1:23" x14ac:dyDescent="0.2">
      <c r="A112" s="282" t="s">
        <v>112</v>
      </c>
      <c r="B112" s="282">
        <v>49005</v>
      </c>
      <c r="C112" s="283">
        <v>13137328</v>
      </c>
      <c r="D112" s="283">
        <v>11048387221</v>
      </c>
      <c r="E112" s="283">
        <v>22699600</v>
      </c>
      <c r="F112" s="283">
        <v>28029800</v>
      </c>
      <c r="G112" s="283">
        <v>7745337779</v>
      </c>
      <c r="H112" s="283">
        <v>200893420</v>
      </c>
      <c r="I112" s="283">
        <v>0</v>
      </c>
      <c r="J112" s="283">
        <v>4097</v>
      </c>
      <c r="K112" s="283">
        <v>0</v>
      </c>
      <c r="L112" s="283">
        <v>0</v>
      </c>
      <c r="M112" s="283">
        <v>398198</v>
      </c>
      <c r="N112" s="283">
        <v>0</v>
      </c>
      <c r="O112" s="283">
        <v>8552600</v>
      </c>
      <c r="P112" s="283">
        <v>0</v>
      </c>
      <c r="Q112" s="283">
        <v>0</v>
      </c>
      <c r="R112" s="283">
        <v>19458000</v>
      </c>
      <c r="S112" s="283">
        <v>0</v>
      </c>
      <c r="T112" s="284">
        <f t="shared" si="3"/>
        <v>13137328</v>
      </c>
      <c r="U112" s="284">
        <f t="shared" si="3"/>
        <v>11056943918</v>
      </c>
      <c r="V112" s="284">
        <f t="shared" si="4"/>
        <v>7966087397</v>
      </c>
      <c r="W112" s="284">
        <f t="shared" si="5"/>
        <v>36900633</v>
      </c>
    </row>
    <row r="113" spans="1:23" x14ac:dyDescent="0.2">
      <c r="A113" s="282" t="s">
        <v>122</v>
      </c>
      <c r="B113" s="282">
        <v>49006</v>
      </c>
      <c r="C113" s="283">
        <v>191059500</v>
      </c>
      <c r="D113" s="283">
        <v>609359400</v>
      </c>
      <c r="E113" s="283">
        <v>342700</v>
      </c>
      <c r="F113" s="283">
        <v>635700</v>
      </c>
      <c r="G113" s="283">
        <v>424046100</v>
      </c>
      <c r="H113" s="283">
        <v>5230271</v>
      </c>
      <c r="I113" s="283">
        <v>0</v>
      </c>
      <c r="J113" s="283">
        <v>0</v>
      </c>
      <c r="K113" s="283">
        <v>0</v>
      </c>
      <c r="L113" s="283">
        <v>0</v>
      </c>
      <c r="M113" s="283">
        <v>19615793</v>
      </c>
      <c r="N113" s="283">
        <v>0</v>
      </c>
      <c r="O113" s="283">
        <v>0</v>
      </c>
      <c r="P113" s="283">
        <v>0</v>
      </c>
      <c r="Q113" s="283">
        <v>0</v>
      </c>
      <c r="R113" s="283">
        <v>0</v>
      </c>
      <c r="S113" s="283">
        <v>0</v>
      </c>
      <c r="T113" s="284">
        <f t="shared" si="3"/>
        <v>191059500</v>
      </c>
      <c r="U113" s="284">
        <f t="shared" si="3"/>
        <v>609359400</v>
      </c>
      <c r="V113" s="284">
        <f t="shared" si="4"/>
        <v>448892164</v>
      </c>
      <c r="W113" s="284">
        <f t="shared" si="5"/>
        <v>2174915</v>
      </c>
    </row>
    <row r="114" spans="1:23" x14ac:dyDescent="0.2">
      <c r="A114" s="282" t="s">
        <v>132</v>
      </c>
      <c r="B114" s="282">
        <v>49007</v>
      </c>
      <c r="C114" s="283">
        <v>169678363</v>
      </c>
      <c r="D114" s="283">
        <v>752337382</v>
      </c>
      <c r="E114" s="283">
        <v>469000</v>
      </c>
      <c r="F114" s="283">
        <v>2472200</v>
      </c>
      <c r="G114" s="283">
        <v>195059997</v>
      </c>
      <c r="H114" s="283">
        <v>28031110</v>
      </c>
      <c r="I114" s="283">
        <v>0</v>
      </c>
      <c r="J114" s="283">
        <v>0</v>
      </c>
      <c r="K114" s="283">
        <v>0</v>
      </c>
      <c r="L114" s="283">
        <v>0</v>
      </c>
      <c r="M114" s="283">
        <v>12128478</v>
      </c>
      <c r="N114" s="283">
        <v>0</v>
      </c>
      <c r="O114" s="283">
        <v>0</v>
      </c>
      <c r="P114" s="283">
        <v>0</v>
      </c>
      <c r="Q114" s="283">
        <v>0</v>
      </c>
      <c r="R114" s="283">
        <v>0</v>
      </c>
      <c r="S114" s="283">
        <v>0</v>
      </c>
      <c r="T114" s="284">
        <f t="shared" si="3"/>
        <v>169678363</v>
      </c>
      <c r="U114" s="284">
        <f t="shared" si="3"/>
        <v>752337382</v>
      </c>
      <c r="V114" s="284">
        <f t="shared" si="4"/>
        <v>235219585</v>
      </c>
      <c r="W114" s="284">
        <f t="shared" si="5"/>
        <v>1761337</v>
      </c>
    </row>
    <row r="115" spans="1:23" x14ac:dyDescent="0.2">
      <c r="A115" s="282" t="s">
        <v>54</v>
      </c>
      <c r="B115" s="282">
        <v>50003</v>
      </c>
      <c r="C115" s="283">
        <v>392100073</v>
      </c>
      <c r="D115" s="283">
        <v>171326711</v>
      </c>
      <c r="E115" s="283">
        <v>921996</v>
      </c>
      <c r="F115" s="283">
        <v>2002801</v>
      </c>
      <c r="G115" s="283">
        <v>65024134</v>
      </c>
      <c r="H115" s="283">
        <v>3285199</v>
      </c>
      <c r="I115" s="283">
        <v>0</v>
      </c>
      <c r="J115" s="283">
        <v>0</v>
      </c>
      <c r="K115" s="283">
        <v>0</v>
      </c>
      <c r="L115" s="283">
        <v>0</v>
      </c>
      <c r="M115" s="283">
        <v>0</v>
      </c>
      <c r="N115" s="283">
        <v>0</v>
      </c>
      <c r="O115" s="283">
        <v>0</v>
      </c>
      <c r="P115" s="283">
        <v>0</v>
      </c>
      <c r="Q115" s="283">
        <v>0</v>
      </c>
      <c r="R115" s="283">
        <v>0</v>
      </c>
      <c r="S115" s="283">
        <v>0</v>
      </c>
      <c r="T115" s="284">
        <f t="shared" si="3"/>
        <v>392100073</v>
      </c>
      <c r="U115" s="284">
        <f t="shared" si="3"/>
        <v>171326711</v>
      </c>
      <c r="V115" s="284">
        <f t="shared" si="4"/>
        <v>68309333</v>
      </c>
      <c r="W115" s="284">
        <f t="shared" si="5"/>
        <v>653517</v>
      </c>
    </row>
    <row r="116" spans="1:23" x14ac:dyDescent="0.2">
      <c r="A116" s="282" t="s">
        <v>388</v>
      </c>
      <c r="B116" s="282">
        <v>50005</v>
      </c>
      <c r="C116" s="283">
        <v>201878672</v>
      </c>
      <c r="D116" s="283">
        <v>101294805</v>
      </c>
      <c r="E116" s="283">
        <v>316430</v>
      </c>
      <c r="F116" s="283">
        <v>1890237</v>
      </c>
      <c r="G116" s="283">
        <v>37303839</v>
      </c>
      <c r="H116" s="283">
        <v>756438</v>
      </c>
      <c r="I116" s="283">
        <v>0</v>
      </c>
      <c r="J116" s="283">
        <v>0</v>
      </c>
      <c r="K116" s="283">
        <v>0</v>
      </c>
      <c r="L116" s="283">
        <v>0</v>
      </c>
      <c r="M116" s="283">
        <v>0</v>
      </c>
      <c r="N116" s="283">
        <v>0</v>
      </c>
      <c r="O116" s="283">
        <v>0</v>
      </c>
      <c r="P116" s="283">
        <v>0</v>
      </c>
      <c r="Q116" s="283">
        <v>0</v>
      </c>
      <c r="R116" s="283">
        <v>0</v>
      </c>
      <c r="S116" s="283">
        <v>0</v>
      </c>
      <c r="T116" s="284">
        <f t="shared" si="3"/>
        <v>201878672</v>
      </c>
      <c r="U116" s="284">
        <f t="shared" si="3"/>
        <v>101294805</v>
      </c>
      <c r="V116" s="284">
        <f t="shared" si="4"/>
        <v>38060277</v>
      </c>
      <c r="W116" s="284">
        <f t="shared" si="5"/>
        <v>362012</v>
      </c>
    </row>
    <row r="117" spans="1:23" x14ac:dyDescent="0.2">
      <c r="A117" s="282" t="s">
        <v>42</v>
      </c>
      <c r="B117" s="282">
        <v>51001</v>
      </c>
      <c r="C117" s="283">
        <v>31112376</v>
      </c>
      <c r="D117" s="283">
        <v>794501948</v>
      </c>
      <c r="E117" s="283">
        <v>10503482</v>
      </c>
      <c r="F117" s="283">
        <v>24328412</v>
      </c>
      <c r="G117" s="283">
        <v>279530935</v>
      </c>
      <c r="H117" s="283">
        <v>4878123</v>
      </c>
      <c r="I117" s="283">
        <v>10179</v>
      </c>
      <c r="J117" s="283">
        <v>0</v>
      </c>
      <c r="K117" s="283">
        <v>0</v>
      </c>
      <c r="L117" s="283">
        <v>0</v>
      </c>
      <c r="M117" s="283">
        <v>310250</v>
      </c>
      <c r="N117" s="283">
        <v>0</v>
      </c>
      <c r="O117" s="283">
        <v>0</v>
      </c>
      <c r="P117" s="283">
        <v>0</v>
      </c>
      <c r="Q117" s="283">
        <v>0</v>
      </c>
      <c r="R117" s="283">
        <v>0</v>
      </c>
      <c r="S117" s="283">
        <v>0</v>
      </c>
      <c r="T117" s="284">
        <f t="shared" si="3"/>
        <v>31122555</v>
      </c>
      <c r="U117" s="284">
        <f t="shared" si="3"/>
        <v>794501948</v>
      </c>
      <c r="V117" s="284">
        <f t="shared" si="4"/>
        <v>284719308</v>
      </c>
      <c r="W117" s="284">
        <f t="shared" si="5"/>
        <v>1872104</v>
      </c>
    </row>
    <row r="118" spans="1:23" x14ac:dyDescent="0.2">
      <c r="A118" s="282" t="s">
        <v>70</v>
      </c>
      <c r="B118" s="282">
        <v>51002</v>
      </c>
      <c r="C118" s="283">
        <v>4278815</v>
      </c>
      <c r="D118" s="283">
        <v>475443222</v>
      </c>
      <c r="E118" s="283">
        <v>6287993</v>
      </c>
      <c r="F118" s="283">
        <v>5885457</v>
      </c>
      <c r="G118" s="283">
        <v>535564879</v>
      </c>
      <c r="H118" s="283">
        <v>17997452</v>
      </c>
      <c r="I118" s="283">
        <v>0</v>
      </c>
      <c r="J118" s="283">
        <v>0</v>
      </c>
      <c r="K118" s="283">
        <v>0</v>
      </c>
      <c r="L118" s="283">
        <v>0</v>
      </c>
      <c r="M118" s="283">
        <v>0</v>
      </c>
      <c r="N118" s="283">
        <v>0</v>
      </c>
      <c r="O118" s="283">
        <v>0</v>
      </c>
      <c r="P118" s="283">
        <v>0</v>
      </c>
      <c r="Q118" s="283">
        <v>0</v>
      </c>
      <c r="R118" s="283">
        <v>0</v>
      </c>
      <c r="S118" s="283">
        <v>0</v>
      </c>
      <c r="T118" s="284">
        <f t="shared" si="3"/>
        <v>4278815</v>
      </c>
      <c r="U118" s="284">
        <f t="shared" si="3"/>
        <v>475443222</v>
      </c>
      <c r="V118" s="284">
        <f t="shared" si="4"/>
        <v>553562331</v>
      </c>
      <c r="W118" s="284">
        <f t="shared" si="5"/>
        <v>2173892</v>
      </c>
    </row>
    <row r="119" spans="1:23" x14ac:dyDescent="0.2">
      <c r="A119" s="282" t="s">
        <v>98</v>
      </c>
      <c r="B119" s="282">
        <v>51003</v>
      </c>
      <c r="C119" s="283">
        <v>85579058</v>
      </c>
      <c r="D119" s="283">
        <v>70116695</v>
      </c>
      <c r="E119" s="283">
        <v>1462402</v>
      </c>
      <c r="F119" s="283">
        <v>2526398</v>
      </c>
      <c r="G119" s="283">
        <v>24760358</v>
      </c>
      <c r="H119" s="283">
        <v>14635</v>
      </c>
      <c r="I119" s="283">
        <v>71138</v>
      </c>
      <c r="J119" s="283">
        <v>0</v>
      </c>
      <c r="K119" s="283">
        <v>0</v>
      </c>
      <c r="L119" s="283">
        <v>0</v>
      </c>
      <c r="M119" s="283">
        <v>1832350</v>
      </c>
      <c r="N119" s="283">
        <v>0</v>
      </c>
      <c r="O119" s="283">
        <v>0</v>
      </c>
      <c r="P119" s="283">
        <v>0</v>
      </c>
      <c r="Q119" s="283">
        <v>0</v>
      </c>
      <c r="R119" s="283">
        <v>0</v>
      </c>
      <c r="S119" s="283">
        <v>0</v>
      </c>
      <c r="T119" s="284">
        <f t="shared" si="3"/>
        <v>85650196</v>
      </c>
      <c r="U119" s="284">
        <f t="shared" si="3"/>
        <v>70116695</v>
      </c>
      <c r="V119" s="284">
        <f t="shared" si="4"/>
        <v>26607343</v>
      </c>
      <c r="W119" s="284">
        <f t="shared" si="5"/>
        <v>218939</v>
      </c>
    </row>
    <row r="120" spans="1:23" x14ac:dyDescent="0.2">
      <c r="A120" s="282" t="s">
        <v>106</v>
      </c>
      <c r="B120" s="282">
        <v>51004</v>
      </c>
      <c r="C120" s="283">
        <v>56563959</v>
      </c>
      <c r="D120" s="283">
        <v>8499296926</v>
      </c>
      <c r="E120" s="283">
        <v>47545990</v>
      </c>
      <c r="F120" s="283">
        <v>67196693</v>
      </c>
      <c r="G120" s="283">
        <v>4959270132</v>
      </c>
      <c r="H120" s="283">
        <v>173287757</v>
      </c>
      <c r="I120" s="283">
        <v>0</v>
      </c>
      <c r="J120" s="283">
        <v>0</v>
      </c>
      <c r="K120" s="283">
        <v>0</v>
      </c>
      <c r="L120" s="283">
        <v>0</v>
      </c>
      <c r="M120" s="283">
        <v>0</v>
      </c>
      <c r="N120" s="283">
        <v>0</v>
      </c>
      <c r="O120" s="283">
        <v>609244</v>
      </c>
      <c r="P120" s="283">
        <v>0</v>
      </c>
      <c r="Q120" s="283">
        <v>0</v>
      </c>
      <c r="R120" s="283">
        <v>14205390</v>
      </c>
      <c r="S120" s="283">
        <v>0</v>
      </c>
      <c r="T120" s="284">
        <f t="shared" si="3"/>
        <v>56563959</v>
      </c>
      <c r="U120" s="284">
        <f t="shared" si="3"/>
        <v>8499906170</v>
      </c>
      <c r="V120" s="284">
        <f t="shared" si="4"/>
        <v>5146763279</v>
      </c>
      <c r="W120" s="284">
        <f t="shared" si="5"/>
        <v>25686306</v>
      </c>
    </row>
    <row r="121" spans="1:23" x14ac:dyDescent="0.2">
      <c r="A121" s="282" t="s">
        <v>125</v>
      </c>
      <c r="B121" s="282">
        <v>51005</v>
      </c>
      <c r="C121" s="283">
        <v>207563492</v>
      </c>
      <c r="D121" s="283">
        <v>68945888</v>
      </c>
      <c r="E121" s="283">
        <v>2447663</v>
      </c>
      <c r="F121" s="283">
        <v>3618143</v>
      </c>
      <c r="G121" s="283">
        <v>58516040</v>
      </c>
      <c r="H121" s="283">
        <v>166871</v>
      </c>
      <c r="I121" s="283">
        <v>0</v>
      </c>
      <c r="J121" s="283">
        <v>0</v>
      </c>
      <c r="K121" s="283">
        <v>0</v>
      </c>
      <c r="L121" s="283">
        <v>0</v>
      </c>
      <c r="M121" s="283">
        <v>2174345</v>
      </c>
      <c r="N121" s="283">
        <v>0</v>
      </c>
      <c r="O121" s="283">
        <v>0</v>
      </c>
      <c r="P121" s="283">
        <v>0</v>
      </c>
      <c r="Q121" s="283">
        <v>0</v>
      </c>
      <c r="R121" s="283">
        <v>0</v>
      </c>
      <c r="S121" s="283">
        <v>0</v>
      </c>
      <c r="T121" s="284">
        <f t="shared" si="3"/>
        <v>207563492</v>
      </c>
      <c r="U121" s="284">
        <f t="shared" si="3"/>
        <v>68945888</v>
      </c>
      <c r="V121" s="284">
        <f t="shared" si="4"/>
        <v>60857256</v>
      </c>
      <c r="W121" s="284">
        <f t="shared" si="5"/>
        <v>385276</v>
      </c>
    </row>
    <row r="122" spans="1:23" x14ac:dyDescent="0.2">
      <c r="A122" s="282" t="s">
        <v>20</v>
      </c>
      <c r="B122" s="282">
        <v>52001</v>
      </c>
      <c r="C122" s="283">
        <v>282335508</v>
      </c>
      <c r="D122" s="283">
        <v>23295884</v>
      </c>
      <c r="E122" s="283">
        <v>1040420</v>
      </c>
      <c r="F122" s="283">
        <v>2857517</v>
      </c>
      <c r="G122" s="283">
        <v>16362693</v>
      </c>
      <c r="H122" s="283">
        <v>1921</v>
      </c>
      <c r="I122" s="283">
        <v>0</v>
      </c>
      <c r="J122" s="283">
        <v>0</v>
      </c>
      <c r="K122" s="283">
        <v>0</v>
      </c>
      <c r="L122" s="283">
        <v>0</v>
      </c>
      <c r="M122" s="283">
        <v>0</v>
      </c>
      <c r="N122" s="283">
        <v>0</v>
      </c>
      <c r="O122" s="283">
        <v>0</v>
      </c>
      <c r="P122" s="283">
        <v>0</v>
      </c>
      <c r="Q122" s="283">
        <v>0</v>
      </c>
      <c r="R122" s="283">
        <v>0</v>
      </c>
      <c r="S122" s="283">
        <v>0</v>
      </c>
      <c r="T122" s="284">
        <f t="shared" si="3"/>
        <v>282335508</v>
      </c>
      <c r="U122" s="284">
        <f t="shared" si="3"/>
        <v>23295884</v>
      </c>
      <c r="V122" s="284">
        <f t="shared" si="4"/>
        <v>16364614</v>
      </c>
      <c r="W122" s="284">
        <f t="shared" si="5"/>
        <v>245545</v>
      </c>
    </row>
    <row r="123" spans="1:23" x14ac:dyDescent="0.2">
      <c r="A123" s="282" t="s">
        <v>83</v>
      </c>
      <c r="B123" s="282">
        <v>52004</v>
      </c>
      <c r="C123" s="283">
        <v>377260758</v>
      </c>
      <c r="D123" s="283">
        <v>59462203</v>
      </c>
      <c r="E123" s="283">
        <v>2520870</v>
      </c>
      <c r="F123" s="283">
        <v>4429827</v>
      </c>
      <c r="G123" s="283">
        <v>47349061</v>
      </c>
      <c r="H123" s="283">
        <v>9265236</v>
      </c>
      <c r="I123" s="283">
        <v>0</v>
      </c>
      <c r="J123" s="283">
        <v>0</v>
      </c>
      <c r="K123" s="283">
        <v>0</v>
      </c>
      <c r="L123" s="283">
        <v>0</v>
      </c>
      <c r="M123" s="283">
        <v>0</v>
      </c>
      <c r="N123" s="283">
        <v>0</v>
      </c>
      <c r="O123" s="283">
        <v>0</v>
      </c>
      <c r="P123" s="283">
        <v>0</v>
      </c>
      <c r="Q123" s="283">
        <v>0</v>
      </c>
      <c r="R123" s="283">
        <v>0</v>
      </c>
      <c r="S123" s="283">
        <v>0</v>
      </c>
      <c r="T123" s="284">
        <f t="shared" si="3"/>
        <v>377260758</v>
      </c>
      <c r="U123" s="284">
        <f t="shared" si="3"/>
        <v>59462203</v>
      </c>
      <c r="V123" s="284">
        <f t="shared" si="4"/>
        <v>56614297</v>
      </c>
      <c r="W123" s="284">
        <f t="shared" si="5"/>
        <v>462375</v>
      </c>
    </row>
    <row r="124" spans="1:23" x14ac:dyDescent="0.2">
      <c r="A124" s="282" t="s">
        <v>60</v>
      </c>
      <c r="B124" s="282">
        <v>53001</v>
      </c>
      <c r="C124" s="283">
        <v>243049499</v>
      </c>
      <c r="D124" s="283">
        <v>61306434</v>
      </c>
      <c r="E124" s="283">
        <v>3901272</v>
      </c>
      <c r="F124" s="283">
        <v>3109662</v>
      </c>
      <c r="G124" s="283">
        <v>47397660</v>
      </c>
      <c r="H124" s="283">
        <v>1350648</v>
      </c>
      <c r="I124" s="283">
        <v>0</v>
      </c>
      <c r="J124" s="283">
        <v>3</v>
      </c>
      <c r="K124" s="283">
        <v>0</v>
      </c>
      <c r="L124" s="283">
        <v>0</v>
      </c>
      <c r="M124" s="283">
        <v>2</v>
      </c>
      <c r="N124" s="283">
        <v>0</v>
      </c>
      <c r="O124" s="283">
        <v>0</v>
      </c>
      <c r="P124" s="283">
        <v>0</v>
      </c>
      <c r="Q124" s="283">
        <v>0</v>
      </c>
      <c r="R124" s="283">
        <v>0</v>
      </c>
      <c r="S124" s="283">
        <v>0</v>
      </c>
      <c r="T124" s="284">
        <f t="shared" si="3"/>
        <v>243049499</v>
      </c>
      <c r="U124" s="284">
        <f t="shared" si="3"/>
        <v>61306437</v>
      </c>
      <c r="V124" s="284">
        <f t="shared" si="4"/>
        <v>48748310</v>
      </c>
      <c r="W124" s="284">
        <f t="shared" si="5"/>
        <v>362715</v>
      </c>
    </row>
    <row r="125" spans="1:23" x14ac:dyDescent="0.2">
      <c r="A125" s="282" t="s">
        <v>72</v>
      </c>
      <c r="B125" s="282">
        <v>53002</v>
      </c>
      <c r="C125" s="283">
        <v>575165266</v>
      </c>
      <c r="D125" s="283">
        <v>42422573</v>
      </c>
      <c r="E125" s="283">
        <v>17837929</v>
      </c>
      <c r="F125" s="283">
        <v>3572538</v>
      </c>
      <c r="G125" s="283">
        <v>36693030</v>
      </c>
      <c r="H125" s="283">
        <v>1081542</v>
      </c>
      <c r="I125" s="283">
        <v>1</v>
      </c>
      <c r="J125" s="283">
        <v>0</v>
      </c>
      <c r="K125" s="283">
        <v>0</v>
      </c>
      <c r="L125" s="283">
        <v>0</v>
      </c>
      <c r="M125" s="283">
        <v>5</v>
      </c>
      <c r="N125" s="283">
        <v>0</v>
      </c>
      <c r="O125" s="283">
        <v>0</v>
      </c>
      <c r="P125" s="283">
        <v>0</v>
      </c>
      <c r="Q125" s="283">
        <v>0</v>
      </c>
      <c r="R125" s="283">
        <v>0</v>
      </c>
      <c r="S125" s="283">
        <v>0</v>
      </c>
      <c r="T125" s="284">
        <f t="shared" si="3"/>
        <v>575165267</v>
      </c>
      <c r="U125" s="284">
        <f t="shared" si="3"/>
        <v>42422573</v>
      </c>
      <c r="V125" s="284">
        <f t="shared" si="4"/>
        <v>37774577</v>
      </c>
      <c r="W125" s="284">
        <f t="shared" si="5"/>
        <v>505773</v>
      </c>
    </row>
    <row r="126" spans="1:23" x14ac:dyDescent="0.2">
      <c r="A126" s="282" t="s">
        <v>476</v>
      </c>
      <c r="B126" s="282">
        <v>54002</v>
      </c>
      <c r="C126" s="283">
        <v>722364553</v>
      </c>
      <c r="D126" s="283">
        <v>210116612</v>
      </c>
      <c r="E126" s="283">
        <v>2530602</v>
      </c>
      <c r="F126" s="283">
        <v>4445584</v>
      </c>
      <c r="G126" s="283">
        <v>140275509</v>
      </c>
      <c r="H126" s="283">
        <v>8027380</v>
      </c>
      <c r="I126" s="283">
        <v>0</v>
      </c>
      <c r="J126" s="283">
        <v>0</v>
      </c>
      <c r="K126" s="283">
        <v>0</v>
      </c>
      <c r="L126" s="283">
        <v>0</v>
      </c>
      <c r="M126" s="283">
        <v>0</v>
      </c>
      <c r="N126" s="283">
        <v>0</v>
      </c>
      <c r="O126" s="283">
        <v>0</v>
      </c>
      <c r="P126" s="283">
        <v>0</v>
      </c>
      <c r="Q126" s="283">
        <v>0</v>
      </c>
      <c r="R126" s="283">
        <v>0</v>
      </c>
      <c r="S126" s="283">
        <v>0</v>
      </c>
      <c r="T126" s="284">
        <f t="shared" si="3"/>
        <v>722364553</v>
      </c>
      <c r="U126" s="284">
        <f t="shared" si="3"/>
        <v>210116612</v>
      </c>
      <c r="V126" s="284">
        <f t="shared" si="4"/>
        <v>148302889</v>
      </c>
      <c r="W126" s="284">
        <f t="shared" si="5"/>
        <v>1124882</v>
      </c>
    </row>
    <row r="127" spans="1:23" x14ac:dyDescent="0.2">
      <c r="A127" s="282" t="s">
        <v>108</v>
      </c>
      <c r="B127" s="282">
        <v>54004</v>
      </c>
      <c r="C127" s="283">
        <v>181895198</v>
      </c>
      <c r="D127" s="283">
        <v>33569801</v>
      </c>
      <c r="E127" s="283">
        <v>180141</v>
      </c>
      <c r="F127" s="283">
        <v>494541</v>
      </c>
      <c r="G127" s="283">
        <v>27099646</v>
      </c>
      <c r="H127" s="283">
        <v>1562732</v>
      </c>
      <c r="I127" s="283">
        <v>0</v>
      </c>
      <c r="J127" s="283">
        <v>0</v>
      </c>
      <c r="K127" s="283">
        <v>0</v>
      </c>
      <c r="L127" s="283">
        <v>0</v>
      </c>
      <c r="M127" s="283">
        <v>0</v>
      </c>
      <c r="N127" s="283">
        <v>0</v>
      </c>
      <c r="O127" s="283">
        <v>0</v>
      </c>
      <c r="P127" s="283">
        <v>0</v>
      </c>
      <c r="Q127" s="283">
        <v>0</v>
      </c>
      <c r="R127" s="283">
        <v>0</v>
      </c>
      <c r="S127" s="283">
        <v>0</v>
      </c>
      <c r="T127" s="284">
        <f t="shared" si="3"/>
        <v>181895198</v>
      </c>
      <c r="U127" s="284">
        <f t="shared" si="3"/>
        <v>33569801</v>
      </c>
      <c r="V127" s="284">
        <f t="shared" si="4"/>
        <v>28662378</v>
      </c>
      <c r="W127" s="284">
        <f t="shared" si="5"/>
        <v>233283</v>
      </c>
    </row>
    <row r="128" spans="1:23" x14ac:dyDescent="0.2">
      <c r="A128" s="282" t="s">
        <v>118</v>
      </c>
      <c r="B128" s="282">
        <v>54006</v>
      </c>
      <c r="C128" s="283">
        <v>166802678</v>
      </c>
      <c r="D128" s="283">
        <v>18579122</v>
      </c>
      <c r="E128" s="283">
        <v>843868</v>
      </c>
      <c r="F128" s="283">
        <v>637315</v>
      </c>
      <c r="G128" s="283">
        <v>10973196</v>
      </c>
      <c r="H128" s="283">
        <v>11320695</v>
      </c>
      <c r="I128" s="283">
        <v>0</v>
      </c>
      <c r="J128" s="283">
        <v>0</v>
      </c>
      <c r="K128" s="283">
        <v>0</v>
      </c>
      <c r="L128" s="283">
        <v>0</v>
      </c>
      <c r="M128" s="283">
        <v>0</v>
      </c>
      <c r="N128" s="283">
        <v>0</v>
      </c>
      <c r="O128" s="283">
        <v>0</v>
      </c>
      <c r="P128" s="283">
        <v>0</v>
      </c>
      <c r="Q128" s="283">
        <v>0</v>
      </c>
      <c r="R128" s="283">
        <v>0</v>
      </c>
      <c r="S128" s="283">
        <v>0</v>
      </c>
      <c r="T128" s="284">
        <f t="shared" si="3"/>
        <v>166802678</v>
      </c>
      <c r="U128" s="284">
        <f t="shared" si="3"/>
        <v>18579122</v>
      </c>
      <c r="V128" s="284">
        <f t="shared" si="4"/>
        <v>22293891</v>
      </c>
      <c r="W128" s="284">
        <f t="shared" si="5"/>
        <v>186517</v>
      </c>
    </row>
    <row r="129" spans="1:24" x14ac:dyDescent="0.2">
      <c r="A129" s="282" t="s">
        <v>136</v>
      </c>
      <c r="B129" s="282">
        <v>54007</v>
      </c>
      <c r="C129" s="283">
        <v>207540892</v>
      </c>
      <c r="D129" s="283">
        <v>65976975</v>
      </c>
      <c r="E129" s="283">
        <v>709547</v>
      </c>
      <c r="F129" s="283">
        <v>1798596</v>
      </c>
      <c r="G129" s="283">
        <v>51898714</v>
      </c>
      <c r="H129" s="283">
        <v>2022563</v>
      </c>
      <c r="I129" s="283">
        <v>0</v>
      </c>
      <c r="J129" s="283">
        <v>0</v>
      </c>
      <c r="K129" s="283">
        <v>0</v>
      </c>
      <c r="L129" s="283">
        <v>0</v>
      </c>
      <c r="M129" s="283">
        <v>0</v>
      </c>
      <c r="N129" s="283">
        <v>0</v>
      </c>
      <c r="O129" s="283">
        <v>0</v>
      </c>
      <c r="P129" s="283">
        <v>0</v>
      </c>
      <c r="Q129" s="283">
        <v>0</v>
      </c>
      <c r="R129" s="283">
        <v>0</v>
      </c>
      <c r="S129" s="283">
        <v>0</v>
      </c>
      <c r="T129" s="284">
        <f t="shared" si="3"/>
        <v>207540892</v>
      </c>
      <c r="U129" s="284">
        <f t="shared" si="3"/>
        <v>65976975</v>
      </c>
      <c r="V129" s="284">
        <f t="shared" si="4"/>
        <v>53921277</v>
      </c>
      <c r="W129" s="284">
        <f t="shared" si="5"/>
        <v>362059</v>
      </c>
    </row>
    <row r="130" spans="1:24" x14ac:dyDescent="0.2">
      <c r="A130" s="282" t="s">
        <v>138</v>
      </c>
      <c r="B130" s="282">
        <v>55004</v>
      </c>
      <c r="C130" s="283">
        <v>233216019</v>
      </c>
      <c r="D130" s="283">
        <v>48519360</v>
      </c>
      <c r="E130" s="283">
        <v>509905</v>
      </c>
      <c r="F130" s="283">
        <v>1338688</v>
      </c>
      <c r="G130" s="283">
        <v>21537806</v>
      </c>
      <c r="H130" s="283">
        <v>2804950</v>
      </c>
      <c r="I130" s="283">
        <v>0</v>
      </c>
      <c r="J130" s="283">
        <v>20096</v>
      </c>
      <c r="K130" s="283">
        <v>0</v>
      </c>
      <c r="L130" s="283">
        <v>0</v>
      </c>
      <c r="M130" s="283">
        <v>0</v>
      </c>
      <c r="N130" s="283">
        <v>0</v>
      </c>
      <c r="O130" s="283">
        <v>0</v>
      </c>
      <c r="P130" s="283">
        <v>0</v>
      </c>
      <c r="Q130" s="283">
        <v>0</v>
      </c>
      <c r="R130" s="283">
        <v>0</v>
      </c>
      <c r="S130" s="283">
        <v>0</v>
      </c>
      <c r="T130" s="284">
        <f t="shared" si="3"/>
        <v>233216019</v>
      </c>
      <c r="U130" s="284">
        <f t="shared" si="3"/>
        <v>48539456</v>
      </c>
      <c r="V130" s="284">
        <f t="shared" si="4"/>
        <v>24342756</v>
      </c>
      <c r="W130" s="284">
        <f t="shared" si="5"/>
        <v>272077</v>
      </c>
    </row>
    <row r="131" spans="1:24" x14ac:dyDescent="0.2">
      <c r="A131" s="282" t="s">
        <v>109</v>
      </c>
      <c r="B131" s="282">
        <v>55005</v>
      </c>
      <c r="C131" s="283">
        <v>463644692</v>
      </c>
      <c r="D131" s="283">
        <v>43633249</v>
      </c>
      <c r="E131" s="283">
        <v>481274</v>
      </c>
      <c r="F131" s="283">
        <v>1581362</v>
      </c>
      <c r="G131" s="283">
        <v>16111358</v>
      </c>
      <c r="H131" s="283">
        <v>997182</v>
      </c>
      <c r="I131" s="283">
        <v>1</v>
      </c>
      <c r="J131" s="283">
        <v>0</v>
      </c>
      <c r="K131" s="283">
        <v>0</v>
      </c>
      <c r="L131" s="283">
        <v>0</v>
      </c>
      <c r="M131" s="283">
        <v>2</v>
      </c>
      <c r="N131" s="283">
        <v>0</v>
      </c>
      <c r="O131" s="283">
        <v>0</v>
      </c>
      <c r="P131" s="283">
        <v>0</v>
      </c>
      <c r="Q131" s="283">
        <v>0</v>
      </c>
      <c r="R131" s="283">
        <v>0</v>
      </c>
      <c r="S131" s="283">
        <v>0</v>
      </c>
      <c r="T131" s="284">
        <f t="shared" si="3"/>
        <v>463644693</v>
      </c>
      <c r="U131" s="284">
        <f t="shared" si="3"/>
        <v>43633249</v>
      </c>
      <c r="V131" s="284">
        <f t="shared" si="4"/>
        <v>17108542</v>
      </c>
      <c r="W131" s="284">
        <f t="shared" si="5"/>
        <v>383363</v>
      </c>
    </row>
    <row r="132" spans="1:24" x14ac:dyDescent="0.2">
      <c r="A132" s="282" t="s">
        <v>41</v>
      </c>
      <c r="B132" s="282">
        <v>56002</v>
      </c>
      <c r="C132" s="283">
        <v>484631836</v>
      </c>
      <c r="D132" s="283">
        <v>34352208</v>
      </c>
      <c r="E132" s="283">
        <v>112968</v>
      </c>
      <c r="F132" s="283">
        <v>1073619</v>
      </c>
      <c r="G132" s="283">
        <v>14199110</v>
      </c>
      <c r="H132" s="283">
        <v>8226924</v>
      </c>
      <c r="I132" s="283">
        <v>0</v>
      </c>
      <c r="J132" s="283">
        <v>0</v>
      </c>
      <c r="K132" s="283">
        <v>0</v>
      </c>
      <c r="L132" s="283">
        <v>0</v>
      </c>
      <c r="M132" s="283">
        <v>0</v>
      </c>
      <c r="N132" s="283">
        <v>0</v>
      </c>
      <c r="O132" s="283">
        <v>0</v>
      </c>
      <c r="P132" s="283">
        <v>0</v>
      </c>
      <c r="Q132" s="283">
        <v>0</v>
      </c>
      <c r="R132" s="283">
        <v>0</v>
      </c>
      <c r="S132" s="283">
        <v>0</v>
      </c>
      <c r="T132" s="284">
        <f t="shared" si="3"/>
        <v>484631836</v>
      </c>
      <c r="U132" s="284">
        <f t="shared" si="3"/>
        <v>34352208</v>
      </c>
      <c r="V132" s="284">
        <f t="shared" si="4"/>
        <v>22426034</v>
      </c>
      <c r="W132" s="284">
        <f t="shared" si="5"/>
        <v>398232</v>
      </c>
    </row>
    <row r="133" spans="1:24" x14ac:dyDescent="0.2">
      <c r="A133" s="282" t="s">
        <v>107</v>
      </c>
      <c r="B133" s="282">
        <v>56004</v>
      </c>
      <c r="C133" s="283">
        <v>444072329</v>
      </c>
      <c r="D133" s="283">
        <v>119856337</v>
      </c>
      <c r="E133" s="283">
        <v>606130</v>
      </c>
      <c r="F133" s="283">
        <v>2441236</v>
      </c>
      <c r="G133" s="283">
        <v>94742833</v>
      </c>
      <c r="H133" s="283">
        <v>34308720</v>
      </c>
      <c r="I133" s="283">
        <v>0</v>
      </c>
      <c r="J133" s="283">
        <v>0</v>
      </c>
      <c r="K133" s="283">
        <v>0</v>
      </c>
      <c r="L133" s="283">
        <v>0</v>
      </c>
      <c r="M133" s="283">
        <v>0</v>
      </c>
      <c r="N133" s="283">
        <v>0</v>
      </c>
      <c r="O133" s="283">
        <v>0</v>
      </c>
      <c r="P133" s="283">
        <v>0</v>
      </c>
      <c r="Q133" s="283">
        <v>0</v>
      </c>
      <c r="R133" s="283">
        <v>0</v>
      </c>
      <c r="S133" s="283">
        <v>0</v>
      </c>
      <c r="T133" s="284">
        <f t="shared" si="3"/>
        <v>444072329</v>
      </c>
      <c r="U133" s="284">
        <f t="shared" si="3"/>
        <v>119856337</v>
      </c>
      <c r="V133" s="284">
        <f t="shared" si="4"/>
        <v>129051553</v>
      </c>
      <c r="W133" s="284">
        <f t="shared" si="5"/>
        <v>784056</v>
      </c>
    </row>
    <row r="134" spans="1:24" x14ac:dyDescent="0.2">
      <c r="A134" s="282" t="s">
        <v>477</v>
      </c>
      <c r="B134" s="282">
        <v>56006</v>
      </c>
      <c r="C134" s="283">
        <v>591688910</v>
      </c>
      <c r="D134" s="283">
        <v>48862552</v>
      </c>
      <c r="E134" s="283">
        <v>582074</v>
      </c>
      <c r="F134" s="283">
        <v>2843556</v>
      </c>
      <c r="G134" s="283">
        <v>28685014</v>
      </c>
      <c r="H134" s="283">
        <v>40085165</v>
      </c>
      <c r="I134" s="283">
        <v>1</v>
      </c>
      <c r="J134" s="283">
        <v>0</v>
      </c>
      <c r="K134" s="283">
        <v>0</v>
      </c>
      <c r="L134" s="283">
        <v>0</v>
      </c>
      <c r="M134" s="283">
        <v>0</v>
      </c>
      <c r="N134" s="283">
        <v>0</v>
      </c>
      <c r="O134" s="283">
        <v>0</v>
      </c>
      <c r="P134" s="283">
        <v>0</v>
      </c>
      <c r="Q134" s="283">
        <v>0</v>
      </c>
      <c r="R134" s="283">
        <v>0</v>
      </c>
      <c r="S134" s="283">
        <v>0</v>
      </c>
      <c r="T134" s="284">
        <f t="shared" si="3"/>
        <v>591688911</v>
      </c>
      <c r="U134" s="284">
        <f t="shared" si="3"/>
        <v>48862552</v>
      </c>
      <c r="V134" s="284">
        <f t="shared" si="4"/>
        <v>68770179</v>
      </c>
      <c r="W134" s="284">
        <f t="shared" si="5"/>
        <v>610208</v>
      </c>
    </row>
    <row r="135" spans="1:24" x14ac:dyDescent="0.2">
      <c r="A135" s="282" t="s">
        <v>100</v>
      </c>
      <c r="B135" s="282">
        <v>56007</v>
      </c>
      <c r="C135" s="283">
        <v>730809722</v>
      </c>
      <c r="D135" s="283">
        <v>58809959</v>
      </c>
      <c r="E135" s="283">
        <v>611771</v>
      </c>
      <c r="F135" s="283">
        <v>3054183</v>
      </c>
      <c r="G135" s="283">
        <v>27517894</v>
      </c>
      <c r="H135" s="283">
        <v>28829317</v>
      </c>
      <c r="I135" s="283">
        <v>0</v>
      </c>
      <c r="J135" s="283">
        <v>1</v>
      </c>
      <c r="K135" s="283">
        <v>0</v>
      </c>
      <c r="L135" s="283">
        <v>0</v>
      </c>
      <c r="M135" s="283">
        <v>0</v>
      </c>
      <c r="N135" s="283">
        <v>0</v>
      </c>
      <c r="O135" s="283">
        <v>0</v>
      </c>
      <c r="P135" s="283">
        <v>0</v>
      </c>
      <c r="Q135" s="283">
        <v>0</v>
      </c>
      <c r="R135" s="283">
        <v>0</v>
      </c>
      <c r="S135" s="283">
        <v>0</v>
      </c>
      <c r="T135" s="284">
        <f t="shared" si="3"/>
        <v>730809722</v>
      </c>
      <c r="U135" s="284">
        <f t="shared" si="3"/>
        <v>58809960</v>
      </c>
      <c r="V135" s="284">
        <f t="shared" si="4"/>
        <v>56347211</v>
      </c>
      <c r="W135" s="284">
        <f t="shared" si="5"/>
        <v>672360</v>
      </c>
    </row>
    <row r="136" spans="1:24" x14ac:dyDescent="0.2">
      <c r="A136" s="282" t="s">
        <v>117</v>
      </c>
      <c r="B136" s="282">
        <v>57001</v>
      </c>
      <c r="C136" s="283">
        <v>315222580</v>
      </c>
      <c r="D136" s="283">
        <v>258877886</v>
      </c>
      <c r="E136" s="283">
        <v>2084131</v>
      </c>
      <c r="F136" s="283">
        <v>13000588</v>
      </c>
      <c r="G136" s="283">
        <v>141468636</v>
      </c>
      <c r="H136" s="283">
        <v>1075624</v>
      </c>
      <c r="I136" s="283">
        <v>0</v>
      </c>
      <c r="J136" s="283">
        <v>0</v>
      </c>
      <c r="K136" s="283">
        <v>0</v>
      </c>
      <c r="L136" s="283">
        <v>0</v>
      </c>
      <c r="M136" s="283">
        <v>0</v>
      </c>
      <c r="N136" s="283">
        <v>0</v>
      </c>
      <c r="O136" s="283">
        <v>0</v>
      </c>
      <c r="P136" s="283">
        <v>0</v>
      </c>
      <c r="Q136" s="283">
        <v>0</v>
      </c>
      <c r="R136" s="283">
        <v>0</v>
      </c>
      <c r="S136" s="283">
        <v>0</v>
      </c>
      <c r="T136" s="284">
        <f t="shared" ref="T136:U154" si="6">C136+I136+N136</f>
        <v>315222580</v>
      </c>
      <c r="U136" s="284">
        <f t="shared" si="6"/>
        <v>258877886</v>
      </c>
      <c r="V136" s="284">
        <f t="shared" ref="V136:V154" si="7">G136+H136+M136+R136+S136</f>
        <v>142544260</v>
      </c>
      <c r="W136" s="284">
        <f t="shared" ref="W136:W154" si="8">ROUND(((T136*1.197)/1000+(U136*2.679)/1000+(V136*5.544)/1000)/2,0)</f>
        <v>930560</v>
      </c>
    </row>
    <row r="137" spans="1:24" x14ac:dyDescent="0.2">
      <c r="A137" s="282" t="s">
        <v>478</v>
      </c>
      <c r="B137" s="282">
        <v>58003</v>
      </c>
      <c r="C137" s="283">
        <v>986180492</v>
      </c>
      <c r="D137" s="283">
        <v>112252353</v>
      </c>
      <c r="E137" s="283">
        <v>7808113</v>
      </c>
      <c r="F137" s="283">
        <v>8790051</v>
      </c>
      <c r="G137" s="283">
        <v>136889883</v>
      </c>
      <c r="H137" s="283">
        <v>1180939</v>
      </c>
      <c r="I137" s="283">
        <v>0</v>
      </c>
      <c r="J137" s="283">
        <v>0</v>
      </c>
      <c r="K137" s="283">
        <v>0</v>
      </c>
      <c r="L137" s="283">
        <v>0</v>
      </c>
      <c r="M137" s="283">
        <v>0</v>
      </c>
      <c r="N137" s="283">
        <v>0</v>
      </c>
      <c r="O137" s="283">
        <v>0</v>
      </c>
      <c r="P137" s="283">
        <v>0</v>
      </c>
      <c r="Q137" s="283">
        <v>0</v>
      </c>
      <c r="R137" s="283">
        <v>0</v>
      </c>
      <c r="S137" s="283">
        <v>0</v>
      </c>
      <c r="T137" s="284">
        <f t="shared" si="6"/>
        <v>986180492</v>
      </c>
      <c r="U137" s="284">
        <f t="shared" si="6"/>
        <v>112252353</v>
      </c>
      <c r="V137" s="284">
        <f t="shared" si="7"/>
        <v>138070822</v>
      </c>
      <c r="W137" s="284">
        <f t="shared" si="8"/>
        <v>1123323</v>
      </c>
    </row>
    <row r="138" spans="1:24" x14ac:dyDescent="0.2">
      <c r="A138" s="282" t="s">
        <v>137</v>
      </c>
      <c r="B138" s="282">
        <v>59002</v>
      </c>
      <c r="C138" s="283">
        <v>666686910</v>
      </c>
      <c r="D138" s="283">
        <v>149846612</v>
      </c>
      <c r="E138" s="283">
        <v>3545759</v>
      </c>
      <c r="F138" s="283">
        <v>5646656</v>
      </c>
      <c r="G138" s="283">
        <v>110363994</v>
      </c>
      <c r="H138" s="283">
        <v>728</v>
      </c>
      <c r="I138" s="283">
        <v>0</v>
      </c>
      <c r="J138" s="283">
        <v>13100</v>
      </c>
      <c r="K138" s="283">
        <v>0</v>
      </c>
      <c r="L138" s="283">
        <v>0</v>
      </c>
      <c r="M138" s="283">
        <v>1070</v>
      </c>
      <c r="N138" s="283">
        <v>0</v>
      </c>
      <c r="O138" s="283">
        <v>0</v>
      </c>
      <c r="P138" s="283">
        <v>0</v>
      </c>
      <c r="Q138" s="283">
        <v>0</v>
      </c>
      <c r="R138" s="283">
        <v>0</v>
      </c>
      <c r="S138" s="283">
        <v>0</v>
      </c>
      <c r="T138" s="284">
        <f t="shared" si="6"/>
        <v>666686910</v>
      </c>
      <c r="U138" s="284">
        <f t="shared" si="6"/>
        <v>149859712</v>
      </c>
      <c r="V138" s="284">
        <f t="shared" si="7"/>
        <v>110365792</v>
      </c>
      <c r="W138" s="284">
        <f t="shared" si="8"/>
        <v>905683</v>
      </c>
    </row>
    <row r="139" spans="1:24" x14ac:dyDescent="0.2">
      <c r="A139" s="282" t="s">
        <v>479</v>
      </c>
      <c r="B139" s="282">
        <v>59003</v>
      </c>
      <c r="C139" s="283">
        <v>238957284</v>
      </c>
      <c r="D139" s="283">
        <v>15770800</v>
      </c>
      <c r="E139" s="283">
        <v>484600</v>
      </c>
      <c r="F139" s="283">
        <v>2066300</v>
      </c>
      <c r="G139" s="283">
        <v>10352300</v>
      </c>
      <c r="H139" s="283">
        <v>508</v>
      </c>
      <c r="I139" s="283">
        <v>0</v>
      </c>
      <c r="J139" s="283">
        <v>2045</v>
      </c>
      <c r="K139" s="283">
        <v>0</v>
      </c>
      <c r="L139" s="283">
        <v>0</v>
      </c>
      <c r="M139" s="283">
        <v>1507</v>
      </c>
      <c r="N139" s="283">
        <v>0</v>
      </c>
      <c r="O139" s="283">
        <v>0</v>
      </c>
      <c r="P139" s="283">
        <v>0</v>
      </c>
      <c r="Q139" s="283">
        <v>0</v>
      </c>
      <c r="R139" s="283">
        <v>0</v>
      </c>
      <c r="S139" s="283">
        <v>0</v>
      </c>
      <c r="T139" s="284">
        <f t="shared" si="6"/>
        <v>238957284</v>
      </c>
      <c r="U139" s="284">
        <f t="shared" si="6"/>
        <v>15772845</v>
      </c>
      <c r="V139" s="284">
        <f t="shared" si="7"/>
        <v>10354315</v>
      </c>
      <c r="W139" s="284">
        <f t="shared" si="8"/>
        <v>192846</v>
      </c>
      <c r="X139" s="284"/>
    </row>
    <row r="140" spans="1:24" x14ac:dyDescent="0.2">
      <c r="A140" s="282" t="s">
        <v>31</v>
      </c>
      <c r="B140" s="282">
        <v>60001</v>
      </c>
      <c r="C140" s="283">
        <v>223946554</v>
      </c>
      <c r="D140" s="283">
        <v>101679525</v>
      </c>
      <c r="E140" s="283">
        <v>39765</v>
      </c>
      <c r="F140" s="283">
        <v>1891247</v>
      </c>
      <c r="G140" s="283">
        <v>22856742</v>
      </c>
      <c r="H140" s="283">
        <v>2461131</v>
      </c>
      <c r="I140" s="283">
        <v>0</v>
      </c>
      <c r="J140" s="283">
        <v>0</v>
      </c>
      <c r="K140" s="283">
        <v>0</v>
      </c>
      <c r="L140" s="283">
        <v>0</v>
      </c>
      <c r="M140" s="283">
        <v>0</v>
      </c>
      <c r="N140" s="283">
        <v>0</v>
      </c>
      <c r="O140" s="283">
        <v>0</v>
      </c>
      <c r="P140" s="283">
        <v>0</v>
      </c>
      <c r="Q140" s="283">
        <v>0</v>
      </c>
      <c r="R140" s="283">
        <v>0</v>
      </c>
      <c r="S140" s="283">
        <v>0</v>
      </c>
      <c r="T140" s="284">
        <f t="shared" si="6"/>
        <v>223946554</v>
      </c>
      <c r="U140" s="284">
        <f t="shared" si="6"/>
        <v>101679525</v>
      </c>
      <c r="V140" s="284">
        <f t="shared" si="7"/>
        <v>25317873</v>
      </c>
      <c r="W140" s="284">
        <f t="shared" si="8"/>
        <v>340413</v>
      </c>
    </row>
    <row r="141" spans="1:24" x14ac:dyDescent="0.2">
      <c r="A141" s="282" t="s">
        <v>88</v>
      </c>
      <c r="B141" s="282">
        <v>60003</v>
      </c>
      <c r="C141" s="283">
        <v>151057581</v>
      </c>
      <c r="D141" s="283">
        <v>98160274</v>
      </c>
      <c r="E141" s="283">
        <v>230789</v>
      </c>
      <c r="F141" s="283">
        <v>1222935</v>
      </c>
      <c r="G141" s="283">
        <v>68285245</v>
      </c>
      <c r="H141" s="283">
        <v>2339319</v>
      </c>
      <c r="I141" s="283">
        <v>0</v>
      </c>
      <c r="J141" s="283">
        <v>0</v>
      </c>
      <c r="K141" s="283">
        <v>0</v>
      </c>
      <c r="L141" s="283">
        <v>0</v>
      </c>
      <c r="M141" s="283">
        <v>8</v>
      </c>
      <c r="N141" s="283">
        <v>0</v>
      </c>
      <c r="O141" s="283">
        <v>0</v>
      </c>
      <c r="P141" s="283">
        <v>0</v>
      </c>
      <c r="Q141" s="283">
        <v>0</v>
      </c>
      <c r="R141" s="283">
        <v>105012</v>
      </c>
      <c r="S141" s="283">
        <v>0</v>
      </c>
      <c r="T141" s="284">
        <f t="shared" si="6"/>
        <v>151057581</v>
      </c>
      <c r="U141" s="284">
        <f t="shared" si="6"/>
        <v>98160274</v>
      </c>
      <c r="V141" s="284">
        <f t="shared" si="7"/>
        <v>70729584</v>
      </c>
      <c r="W141" s="284">
        <f t="shared" si="8"/>
        <v>417956</v>
      </c>
    </row>
    <row r="142" spans="1:24" x14ac:dyDescent="0.2">
      <c r="A142" s="282" t="s">
        <v>102</v>
      </c>
      <c r="B142" s="282">
        <v>60004</v>
      </c>
      <c r="C142" s="283">
        <v>196388064</v>
      </c>
      <c r="D142" s="283">
        <v>229631169</v>
      </c>
      <c r="E142" s="283">
        <v>574455</v>
      </c>
      <c r="F142" s="283">
        <v>1615070</v>
      </c>
      <c r="G142" s="283">
        <v>49560065</v>
      </c>
      <c r="H142" s="283">
        <v>2409929</v>
      </c>
      <c r="I142" s="283">
        <v>0</v>
      </c>
      <c r="J142" s="283">
        <v>1</v>
      </c>
      <c r="K142" s="283">
        <v>0</v>
      </c>
      <c r="L142" s="283">
        <v>0</v>
      </c>
      <c r="M142" s="283">
        <v>649862</v>
      </c>
      <c r="N142" s="283">
        <v>0</v>
      </c>
      <c r="O142" s="283">
        <v>0</v>
      </c>
      <c r="P142" s="283">
        <v>0</v>
      </c>
      <c r="Q142" s="283">
        <v>0</v>
      </c>
      <c r="R142" s="283">
        <v>0</v>
      </c>
      <c r="S142" s="283">
        <v>0</v>
      </c>
      <c r="T142" s="284">
        <f t="shared" si="6"/>
        <v>196388064</v>
      </c>
      <c r="U142" s="284">
        <f t="shared" si="6"/>
        <v>229631170</v>
      </c>
      <c r="V142" s="284">
        <f t="shared" si="7"/>
        <v>52619856</v>
      </c>
      <c r="W142" s="284">
        <f t="shared" si="8"/>
        <v>570991</v>
      </c>
    </row>
    <row r="143" spans="1:24" x14ac:dyDescent="0.2">
      <c r="A143" s="282" t="s">
        <v>480</v>
      </c>
      <c r="B143" s="282">
        <v>60006</v>
      </c>
      <c r="C143" s="283">
        <v>304107140</v>
      </c>
      <c r="D143" s="283">
        <v>159039783</v>
      </c>
      <c r="E143" s="283">
        <v>1108930</v>
      </c>
      <c r="F143" s="283">
        <v>2493245</v>
      </c>
      <c r="G143" s="283">
        <v>57084920</v>
      </c>
      <c r="H143" s="283">
        <v>309133</v>
      </c>
      <c r="I143" s="283">
        <v>2</v>
      </c>
      <c r="J143" s="283">
        <v>0</v>
      </c>
      <c r="K143" s="283">
        <v>0</v>
      </c>
      <c r="L143" s="283">
        <v>0</v>
      </c>
      <c r="M143" s="283">
        <v>6</v>
      </c>
      <c r="N143" s="283">
        <v>0</v>
      </c>
      <c r="O143" s="283">
        <v>0</v>
      </c>
      <c r="P143" s="283">
        <v>0</v>
      </c>
      <c r="Q143" s="283">
        <v>0</v>
      </c>
      <c r="R143" s="283">
        <v>0</v>
      </c>
      <c r="S143" s="283">
        <v>0</v>
      </c>
      <c r="T143" s="284">
        <f t="shared" si="6"/>
        <v>304107142</v>
      </c>
      <c r="U143" s="284">
        <f t="shared" si="6"/>
        <v>159039783</v>
      </c>
      <c r="V143" s="284">
        <f t="shared" si="7"/>
        <v>57394059</v>
      </c>
      <c r="W143" s="284">
        <f t="shared" si="8"/>
        <v>554138</v>
      </c>
    </row>
    <row r="144" spans="1:24" x14ac:dyDescent="0.2">
      <c r="A144" s="282" t="s">
        <v>389</v>
      </c>
      <c r="B144" s="282">
        <v>61001</v>
      </c>
      <c r="C144" s="283">
        <v>283308447</v>
      </c>
      <c r="D144" s="283">
        <v>145651868</v>
      </c>
      <c r="E144" s="283">
        <v>31345</v>
      </c>
      <c r="F144" s="283">
        <v>1041072</v>
      </c>
      <c r="G144" s="283">
        <v>63939699</v>
      </c>
      <c r="H144" s="283">
        <v>6057042</v>
      </c>
      <c r="I144" s="283">
        <v>0</v>
      </c>
      <c r="J144" s="283">
        <v>0</v>
      </c>
      <c r="K144" s="283">
        <v>0</v>
      </c>
      <c r="L144" s="283">
        <v>0</v>
      </c>
      <c r="M144" s="283">
        <v>0</v>
      </c>
      <c r="N144" s="283">
        <v>0</v>
      </c>
      <c r="O144" s="283">
        <v>0</v>
      </c>
      <c r="P144" s="283">
        <v>0</v>
      </c>
      <c r="Q144" s="283">
        <v>0</v>
      </c>
      <c r="R144" s="283">
        <v>0</v>
      </c>
      <c r="S144" s="283">
        <v>0</v>
      </c>
      <c r="T144" s="284">
        <f t="shared" si="6"/>
        <v>283308447</v>
      </c>
      <c r="U144" s="284">
        <f t="shared" si="6"/>
        <v>145651868</v>
      </c>
      <c r="V144" s="284">
        <f t="shared" si="7"/>
        <v>69996741</v>
      </c>
      <c r="W144" s="284">
        <f t="shared" si="8"/>
        <v>558692</v>
      </c>
    </row>
    <row r="145" spans="1:23" x14ac:dyDescent="0.2">
      <c r="A145" s="282" t="s">
        <v>18</v>
      </c>
      <c r="B145" s="282">
        <v>61002</v>
      </c>
      <c r="C145" s="283">
        <v>352909467</v>
      </c>
      <c r="D145" s="283">
        <v>276781024</v>
      </c>
      <c r="E145" s="283">
        <v>404984</v>
      </c>
      <c r="F145" s="283">
        <v>951658</v>
      </c>
      <c r="G145" s="283">
        <v>105503440</v>
      </c>
      <c r="H145" s="283">
        <v>6526730</v>
      </c>
      <c r="I145" s="283">
        <v>1</v>
      </c>
      <c r="J145" s="283">
        <v>0</v>
      </c>
      <c r="K145" s="283">
        <v>0</v>
      </c>
      <c r="L145" s="283">
        <v>0</v>
      </c>
      <c r="M145" s="283">
        <v>0</v>
      </c>
      <c r="N145" s="283">
        <v>0</v>
      </c>
      <c r="O145" s="283">
        <v>0</v>
      </c>
      <c r="P145" s="283">
        <v>0</v>
      </c>
      <c r="Q145" s="283">
        <v>0</v>
      </c>
      <c r="R145" s="283">
        <v>0</v>
      </c>
      <c r="S145" s="283">
        <v>0</v>
      </c>
      <c r="T145" s="284">
        <f t="shared" si="6"/>
        <v>352909468</v>
      </c>
      <c r="U145" s="284">
        <f t="shared" si="6"/>
        <v>276781024</v>
      </c>
      <c r="V145" s="284">
        <f t="shared" si="7"/>
        <v>112030170</v>
      </c>
      <c r="W145" s="284">
        <f t="shared" si="8"/>
        <v>892512</v>
      </c>
    </row>
    <row r="146" spans="1:23" x14ac:dyDescent="0.2">
      <c r="A146" s="282" t="s">
        <v>48</v>
      </c>
      <c r="B146" s="282">
        <v>61007</v>
      </c>
      <c r="C146" s="283">
        <v>330378481</v>
      </c>
      <c r="D146" s="283">
        <v>305356274</v>
      </c>
      <c r="E146" s="283">
        <v>358796</v>
      </c>
      <c r="F146" s="283">
        <v>451043</v>
      </c>
      <c r="G146" s="283">
        <v>71307650</v>
      </c>
      <c r="H146" s="283">
        <v>7872950</v>
      </c>
      <c r="I146" s="283">
        <v>0</v>
      </c>
      <c r="J146" s="283">
        <v>0</v>
      </c>
      <c r="K146" s="283">
        <v>0</v>
      </c>
      <c r="L146" s="283">
        <v>0</v>
      </c>
      <c r="M146" s="283">
        <v>0</v>
      </c>
      <c r="N146" s="283">
        <v>0</v>
      </c>
      <c r="O146" s="283">
        <v>0</v>
      </c>
      <c r="P146" s="283">
        <v>0</v>
      </c>
      <c r="Q146" s="283">
        <v>0</v>
      </c>
      <c r="R146" s="283">
        <v>0</v>
      </c>
      <c r="S146" s="283">
        <v>0</v>
      </c>
      <c r="T146" s="284">
        <f t="shared" si="6"/>
        <v>330378481</v>
      </c>
      <c r="U146" s="284">
        <f t="shared" si="6"/>
        <v>305356274</v>
      </c>
      <c r="V146" s="284">
        <f t="shared" si="7"/>
        <v>79180600</v>
      </c>
      <c r="W146" s="284">
        <f t="shared" si="8"/>
        <v>826245</v>
      </c>
    </row>
    <row r="147" spans="1:23" x14ac:dyDescent="0.2">
      <c r="A147" s="282" t="s">
        <v>36</v>
      </c>
      <c r="B147" s="282">
        <v>61008</v>
      </c>
      <c r="C147" s="283">
        <v>21493176</v>
      </c>
      <c r="D147" s="283">
        <v>940351853</v>
      </c>
      <c r="E147" s="283">
        <v>1735770</v>
      </c>
      <c r="F147" s="283">
        <v>3147061</v>
      </c>
      <c r="G147" s="283">
        <v>370788737</v>
      </c>
      <c r="H147" s="283">
        <v>9661818</v>
      </c>
      <c r="I147" s="283">
        <v>0</v>
      </c>
      <c r="J147" s="283">
        <v>0</v>
      </c>
      <c r="K147" s="283">
        <v>0</v>
      </c>
      <c r="L147" s="283">
        <v>0</v>
      </c>
      <c r="M147" s="283">
        <v>0</v>
      </c>
      <c r="N147" s="283">
        <v>0</v>
      </c>
      <c r="O147" s="283">
        <v>0</v>
      </c>
      <c r="P147" s="283">
        <v>0</v>
      </c>
      <c r="Q147" s="283">
        <v>0</v>
      </c>
      <c r="R147" s="283">
        <v>0</v>
      </c>
      <c r="S147" s="283">
        <v>0</v>
      </c>
      <c r="T147" s="284">
        <f t="shared" si="6"/>
        <v>21493176</v>
      </c>
      <c r="U147" s="284">
        <f t="shared" si="6"/>
        <v>940351853</v>
      </c>
      <c r="V147" s="284">
        <f t="shared" si="7"/>
        <v>380450555</v>
      </c>
      <c r="W147" s="284">
        <f t="shared" si="8"/>
        <v>2327074</v>
      </c>
    </row>
    <row r="148" spans="1:23" x14ac:dyDescent="0.2">
      <c r="A148" s="282" t="s">
        <v>111</v>
      </c>
      <c r="B148" s="282">
        <v>62005</v>
      </c>
      <c r="C148" s="283">
        <v>525414197</v>
      </c>
      <c r="D148" s="283">
        <v>63709202</v>
      </c>
      <c r="E148" s="283">
        <v>6182480</v>
      </c>
      <c r="F148" s="283">
        <v>6752911</v>
      </c>
      <c r="G148" s="283">
        <v>55469847</v>
      </c>
      <c r="H148" s="283">
        <v>17085064</v>
      </c>
      <c r="I148" s="283">
        <v>0</v>
      </c>
      <c r="J148" s="283">
        <v>0</v>
      </c>
      <c r="K148" s="283">
        <v>0</v>
      </c>
      <c r="L148" s="283">
        <v>0</v>
      </c>
      <c r="M148" s="283">
        <v>0</v>
      </c>
      <c r="N148" s="283">
        <v>0</v>
      </c>
      <c r="O148" s="283">
        <v>0</v>
      </c>
      <c r="P148" s="283">
        <v>0</v>
      </c>
      <c r="Q148" s="283">
        <v>0</v>
      </c>
      <c r="R148" s="283">
        <v>0</v>
      </c>
      <c r="S148" s="283">
        <v>0</v>
      </c>
      <c r="T148" s="284">
        <f t="shared" si="6"/>
        <v>525414197</v>
      </c>
      <c r="U148" s="284">
        <f t="shared" si="6"/>
        <v>63709202</v>
      </c>
      <c r="V148" s="284">
        <f t="shared" si="7"/>
        <v>72554911</v>
      </c>
      <c r="W148" s="284">
        <f t="shared" si="8"/>
        <v>600921</v>
      </c>
    </row>
    <row r="149" spans="1:23" x14ac:dyDescent="0.2">
      <c r="A149" s="282" t="s">
        <v>481</v>
      </c>
      <c r="B149" s="282">
        <v>62006</v>
      </c>
      <c r="C149" s="283">
        <v>148538639</v>
      </c>
      <c r="D149" s="283">
        <v>163515998</v>
      </c>
      <c r="E149" s="283">
        <v>2145431</v>
      </c>
      <c r="F149" s="283">
        <v>3674461</v>
      </c>
      <c r="G149" s="283">
        <v>107621296</v>
      </c>
      <c r="H149" s="283">
        <v>7775399</v>
      </c>
      <c r="I149" s="283">
        <v>0</v>
      </c>
      <c r="J149" s="283">
        <v>0</v>
      </c>
      <c r="K149" s="283">
        <v>0</v>
      </c>
      <c r="L149" s="283">
        <v>0</v>
      </c>
      <c r="M149" s="283">
        <v>0</v>
      </c>
      <c r="N149" s="283">
        <v>0</v>
      </c>
      <c r="O149" s="283">
        <v>0</v>
      </c>
      <c r="P149" s="283">
        <v>0</v>
      </c>
      <c r="Q149" s="283">
        <v>0</v>
      </c>
      <c r="R149" s="283">
        <v>0</v>
      </c>
      <c r="S149" s="283">
        <v>0</v>
      </c>
      <c r="T149" s="284">
        <f t="shared" si="6"/>
        <v>148538639</v>
      </c>
      <c r="U149" s="284">
        <f t="shared" si="6"/>
        <v>163515998</v>
      </c>
      <c r="V149" s="284">
        <f t="shared" si="7"/>
        <v>115396695</v>
      </c>
      <c r="W149" s="284">
        <f t="shared" si="8"/>
        <v>627810</v>
      </c>
    </row>
    <row r="150" spans="1:23" x14ac:dyDescent="0.2">
      <c r="A150" s="282" t="s">
        <v>59</v>
      </c>
      <c r="B150" s="282">
        <v>63001</v>
      </c>
      <c r="C150" s="283">
        <v>107742572</v>
      </c>
      <c r="D150" s="283">
        <v>46362606</v>
      </c>
      <c r="E150" s="283">
        <v>118694</v>
      </c>
      <c r="F150" s="283">
        <v>1888211</v>
      </c>
      <c r="G150" s="283">
        <v>8598203</v>
      </c>
      <c r="H150" s="283">
        <v>1723163</v>
      </c>
      <c r="I150" s="283">
        <v>0</v>
      </c>
      <c r="J150" s="283">
        <v>0</v>
      </c>
      <c r="K150" s="283">
        <v>0</v>
      </c>
      <c r="L150" s="283">
        <v>0</v>
      </c>
      <c r="M150" s="283">
        <v>0</v>
      </c>
      <c r="N150" s="283">
        <v>0</v>
      </c>
      <c r="O150" s="283">
        <v>0</v>
      </c>
      <c r="P150" s="283">
        <v>0</v>
      </c>
      <c r="Q150" s="283">
        <v>0</v>
      </c>
      <c r="R150" s="283">
        <v>0</v>
      </c>
      <c r="S150" s="283">
        <v>0</v>
      </c>
      <c r="T150" s="284">
        <f t="shared" si="6"/>
        <v>107742572</v>
      </c>
      <c r="U150" s="284">
        <f t="shared" si="6"/>
        <v>46362606</v>
      </c>
      <c r="V150" s="284">
        <f t="shared" si="7"/>
        <v>10321366</v>
      </c>
      <c r="W150" s="284">
        <f t="shared" si="8"/>
        <v>155197</v>
      </c>
    </row>
    <row r="151" spans="1:23" x14ac:dyDescent="0.2">
      <c r="A151" s="282" t="s">
        <v>139</v>
      </c>
      <c r="B151" s="282">
        <v>63003</v>
      </c>
      <c r="C151" s="283">
        <v>228461346</v>
      </c>
      <c r="D151" s="283">
        <v>1336382070</v>
      </c>
      <c r="E151" s="283">
        <v>6719682</v>
      </c>
      <c r="F151" s="283">
        <v>10654542</v>
      </c>
      <c r="G151" s="283">
        <v>553243958</v>
      </c>
      <c r="H151" s="283">
        <v>59076695</v>
      </c>
      <c r="I151" s="283">
        <v>0</v>
      </c>
      <c r="J151" s="283">
        <v>0</v>
      </c>
      <c r="K151" s="283">
        <v>0</v>
      </c>
      <c r="L151" s="283">
        <v>0</v>
      </c>
      <c r="M151" s="283">
        <v>0</v>
      </c>
      <c r="N151" s="283">
        <v>0</v>
      </c>
      <c r="O151" s="283">
        <v>0</v>
      </c>
      <c r="P151" s="283">
        <v>0</v>
      </c>
      <c r="Q151" s="283">
        <v>0</v>
      </c>
      <c r="R151" s="283">
        <v>0</v>
      </c>
      <c r="S151" s="283">
        <v>0</v>
      </c>
      <c r="T151" s="284">
        <f t="shared" si="6"/>
        <v>228461346</v>
      </c>
      <c r="U151" s="284">
        <f t="shared" si="6"/>
        <v>1336382070</v>
      </c>
      <c r="V151" s="284">
        <f t="shared" si="7"/>
        <v>612320653</v>
      </c>
      <c r="W151" s="284">
        <f t="shared" si="8"/>
        <v>3624171</v>
      </c>
    </row>
    <row r="152" spans="1:23" x14ac:dyDescent="0.2">
      <c r="A152" s="282" t="s">
        <v>43</v>
      </c>
      <c r="B152" s="282">
        <v>64002</v>
      </c>
      <c r="C152" s="283">
        <v>231548223</v>
      </c>
      <c r="D152" s="283">
        <v>7934300</v>
      </c>
      <c r="E152" s="283">
        <v>780379</v>
      </c>
      <c r="F152" s="283">
        <v>3270648</v>
      </c>
      <c r="G152" s="283">
        <v>7212045</v>
      </c>
      <c r="H152" s="283">
        <v>395</v>
      </c>
      <c r="I152" s="283">
        <v>0</v>
      </c>
      <c r="J152" s="283">
        <v>0</v>
      </c>
      <c r="K152" s="283">
        <v>0</v>
      </c>
      <c r="L152" s="283">
        <v>0</v>
      </c>
      <c r="M152" s="283">
        <v>0</v>
      </c>
      <c r="N152" s="283">
        <v>0</v>
      </c>
      <c r="O152" s="283">
        <v>0</v>
      </c>
      <c r="P152" s="283">
        <v>0</v>
      </c>
      <c r="Q152" s="283">
        <v>0</v>
      </c>
      <c r="R152" s="283">
        <v>0</v>
      </c>
      <c r="S152" s="283">
        <v>0</v>
      </c>
      <c r="T152" s="284">
        <f t="shared" si="6"/>
        <v>231548223</v>
      </c>
      <c r="U152" s="284">
        <f t="shared" si="6"/>
        <v>7934300</v>
      </c>
      <c r="V152" s="284">
        <f t="shared" si="7"/>
        <v>7212440</v>
      </c>
      <c r="W152" s="284">
        <f t="shared" si="8"/>
        <v>169202</v>
      </c>
    </row>
    <row r="153" spans="1:23" x14ac:dyDescent="0.2">
      <c r="A153" s="282" t="s">
        <v>390</v>
      </c>
      <c r="B153" s="282">
        <v>65001</v>
      </c>
      <c r="C153" s="283">
        <v>47566017</v>
      </c>
      <c r="D153" s="283">
        <v>5278060</v>
      </c>
      <c r="E153" s="283">
        <v>552750</v>
      </c>
      <c r="F153" s="283">
        <v>402780</v>
      </c>
      <c r="G153" s="283">
        <v>15026870</v>
      </c>
      <c r="H153" s="283">
        <v>686432</v>
      </c>
      <c r="I153" s="283">
        <v>0</v>
      </c>
      <c r="J153" s="283">
        <v>0</v>
      </c>
      <c r="K153" s="283">
        <v>0</v>
      </c>
      <c r="L153" s="283">
        <v>0</v>
      </c>
      <c r="M153" s="283">
        <v>216027</v>
      </c>
      <c r="N153" s="283">
        <v>0</v>
      </c>
      <c r="O153" s="283">
        <v>0</v>
      </c>
      <c r="P153" s="283">
        <v>0</v>
      </c>
      <c r="Q153" s="283">
        <v>0</v>
      </c>
      <c r="R153" s="283">
        <v>0</v>
      </c>
      <c r="S153" s="283">
        <v>0</v>
      </c>
      <c r="T153" s="284">
        <f t="shared" si="6"/>
        <v>47566017</v>
      </c>
      <c r="U153" s="284">
        <f t="shared" si="6"/>
        <v>5278060</v>
      </c>
      <c r="V153" s="284">
        <f t="shared" si="7"/>
        <v>15929329</v>
      </c>
      <c r="W153" s="284">
        <f t="shared" si="8"/>
        <v>79694</v>
      </c>
    </row>
    <row r="154" spans="1:23" x14ac:dyDescent="0.2">
      <c r="A154" s="282" t="s">
        <v>121</v>
      </c>
      <c r="B154" s="282">
        <v>66001</v>
      </c>
      <c r="C154" s="283">
        <v>188988918</v>
      </c>
      <c r="D154" s="283">
        <v>16955668</v>
      </c>
      <c r="E154" s="283">
        <v>1425605</v>
      </c>
      <c r="F154" s="283">
        <v>2387745</v>
      </c>
      <c r="G154" s="283">
        <v>19274995</v>
      </c>
      <c r="H154" s="283">
        <v>302190</v>
      </c>
      <c r="I154" s="283">
        <v>0</v>
      </c>
      <c r="J154" s="283">
        <v>0</v>
      </c>
      <c r="K154" s="283">
        <v>0</v>
      </c>
      <c r="L154" s="283">
        <v>0</v>
      </c>
      <c r="M154" s="283">
        <v>0</v>
      </c>
      <c r="N154" s="283">
        <v>0</v>
      </c>
      <c r="O154" s="283">
        <v>0</v>
      </c>
      <c r="P154" s="283">
        <v>0</v>
      </c>
      <c r="Q154" s="283">
        <v>0</v>
      </c>
      <c r="R154" s="283">
        <v>0</v>
      </c>
      <c r="S154" s="283">
        <v>0</v>
      </c>
      <c r="T154" s="284">
        <f t="shared" si="6"/>
        <v>188988918</v>
      </c>
      <c r="U154" s="284">
        <f t="shared" si="6"/>
        <v>16955668</v>
      </c>
      <c r="V154" s="284">
        <f t="shared" si="7"/>
        <v>19577185</v>
      </c>
      <c r="W154" s="284">
        <f t="shared" si="8"/>
        <v>190090</v>
      </c>
    </row>
    <row r="156" spans="1:23" x14ac:dyDescent="0.2">
      <c r="A156" s="286" t="s">
        <v>428</v>
      </c>
      <c r="C156" s="287">
        <f>SUM(C7:C154)</f>
        <v>45884638965</v>
      </c>
      <c r="D156" s="287">
        <f t="shared" ref="D156:S156" si="9">SUM(D7:D154)</f>
        <v>60458540524</v>
      </c>
      <c r="E156" s="287">
        <f t="shared" si="9"/>
        <v>378822065</v>
      </c>
      <c r="F156" s="287">
        <f t="shared" si="9"/>
        <v>810906211</v>
      </c>
      <c r="G156" s="287">
        <f t="shared" si="9"/>
        <v>33981603986</v>
      </c>
      <c r="H156" s="287">
        <f t="shared" si="9"/>
        <v>2632581940</v>
      </c>
      <c r="I156" s="287">
        <f t="shared" si="9"/>
        <v>5450260</v>
      </c>
      <c r="J156" s="287">
        <f t="shared" si="9"/>
        <v>888641</v>
      </c>
      <c r="K156" s="287">
        <f t="shared" si="9"/>
        <v>0</v>
      </c>
      <c r="L156" s="287">
        <f t="shared" si="9"/>
        <v>0</v>
      </c>
      <c r="M156" s="287">
        <f t="shared" si="9"/>
        <v>205708209</v>
      </c>
      <c r="N156" s="287">
        <f t="shared" si="9"/>
        <v>0</v>
      </c>
      <c r="O156" s="287">
        <f t="shared" si="9"/>
        <v>191004387</v>
      </c>
      <c r="P156" s="287">
        <f t="shared" si="9"/>
        <v>0</v>
      </c>
      <c r="Q156" s="287">
        <f t="shared" si="9"/>
        <v>0</v>
      </c>
      <c r="R156" s="287">
        <f t="shared" si="9"/>
        <v>102649374</v>
      </c>
      <c r="S156" s="287">
        <f t="shared" si="9"/>
        <v>0</v>
      </c>
      <c r="T156" s="284">
        <f>SUM(T7:T154)</f>
        <v>45890089225</v>
      </c>
      <c r="U156" s="284">
        <f t="shared" ref="U156:W156" si="10">SUM(U7:U154)</f>
        <v>60650433552</v>
      </c>
      <c r="V156" s="284">
        <f t="shared" si="10"/>
        <v>36922543509</v>
      </c>
      <c r="W156" s="284">
        <f t="shared" si="10"/>
        <v>211055764</v>
      </c>
    </row>
    <row r="158" spans="1:23" x14ac:dyDescent="0.2">
      <c r="C158" s="284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</row>
    <row r="159" spans="1:23" s="288" customFormat="1" x14ac:dyDescent="0.2">
      <c r="A159" s="285"/>
      <c r="B159" s="285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85"/>
      <c r="U159" s="289">
        <f>SUM(T156:V156)</f>
        <v>143463066286</v>
      </c>
    </row>
    <row r="160" spans="1:23" x14ac:dyDescent="0.2">
      <c r="U160" s="284">
        <f>SUM(C156+D156+G156+H156+I156+J156+M156+N156+O156+R156+S156)</f>
        <v>143463066286</v>
      </c>
    </row>
    <row r="161" spans="21:21" x14ac:dyDescent="0.2">
      <c r="U161" s="284">
        <f>U159-U160</f>
        <v>0</v>
      </c>
    </row>
    <row r="162" spans="21:21" x14ac:dyDescent="0.2">
      <c r="U162" s="284"/>
    </row>
    <row r="163" spans="21:21" x14ac:dyDescent="0.2">
      <c r="U163" s="284"/>
    </row>
  </sheetData>
  <sheetProtection algorithmName="SHA-512" hashValue="iOHZiy8gAy2T5WPMmjAbQb/rXORMBGkFIKXBXX3GXDKGbTZC9cKKmqGv0VxoZMGRLevB0GW/+uwgUXVC2zNsEw==" saltValue="X9VCkoUCHPP0e5MWxEaiL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6E6B7-2443-43F9-8D88-6876B939FCEA}">
  <dimension ref="A1:D148"/>
  <sheetViews>
    <sheetView workbookViewId="0"/>
  </sheetViews>
  <sheetFormatPr defaultRowHeight="15" x14ac:dyDescent="0.25"/>
  <cols>
    <col min="1" max="1" width="8.28515625" bestFit="1" customWidth="1"/>
    <col min="2" max="2" width="25.5703125" bestFit="1" customWidth="1"/>
    <col min="3" max="3" width="13.85546875" customWidth="1"/>
    <col min="4" max="4" width="15" bestFit="1" customWidth="1"/>
  </cols>
  <sheetData>
    <row r="1" spans="1:4" ht="30.75" thickBot="1" x14ac:dyDescent="0.3">
      <c r="A1" s="253" t="s">
        <v>377</v>
      </c>
      <c r="B1" s="254" t="s">
        <v>142</v>
      </c>
      <c r="C1" s="254" t="s">
        <v>446</v>
      </c>
      <c r="D1" s="254" t="s">
        <v>447</v>
      </c>
    </row>
    <row r="2" spans="1:4" ht="15.75" thickBot="1" x14ac:dyDescent="0.3">
      <c r="A2" s="211">
        <v>6001</v>
      </c>
      <c r="B2" s="212" t="s">
        <v>143</v>
      </c>
    </row>
    <row r="3" spans="1:4" ht="15.75" thickBot="1" x14ac:dyDescent="0.3">
      <c r="A3" s="211">
        <v>58003</v>
      </c>
      <c r="B3" s="212" t="s">
        <v>144</v>
      </c>
    </row>
    <row r="4" spans="1:4" ht="15.75" thickBot="1" x14ac:dyDescent="0.3">
      <c r="A4" s="211">
        <v>61001</v>
      </c>
      <c r="B4" s="212" t="s">
        <v>145</v>
      </c>
    </row>
    <row r="5" spans="1:4" ht="15.75" thickBot="1" x14ac:dyDescent="0.3">
      <c r="A5" s="211">
        <v>11001</v>
      </c>
      <c r="B5" s="212" t="s">
        <v>146</v>
      </c>
    </row>
    <row r="6" spans="1:4" ht="15.75" thickBot="1" x14ac:dyDescent="0.3">
      <c r="A6" s="211">
        <v>38001</v>
      </c>
      <c r="B6" s="212" t="s">
        <v>147</v>
      </c>
    </row>
    <row r="7" spans="1:4" ht="15.75" thickBot="1" x14ac:dyDescent="0.3">
      <c r="A7" s="211">
        <v>21001</v>
      </c>
      <c r="B7" s="212" t="s">
        <v>148</v>
      </c>
    </row>
    <row r="8" spans="1:4" ht="15.75" thickBot="1" x14ac:dyDescent="0.3">
      <c r="A8" s="211">
        <v>4001</v>
      </c>
      <c r="B8" s="212" t="s">
        <v>149</v>
      </c>
    </row>
    <row r="9" spans="1:4" ht="15.75" thickBot="1" x14ac:dyDescent="0.3">
      <c r="A9" s="211">
        <v>49001</v>
      </c>
      <c r="B9" s="212" t="s">
        <v>150</v>
      </c>
    </row>
    <row r="10" spans="1:4" ht="15.75" thickBot="1" x14ac:dyDescent="0.3">
      <c r="A10" s="211">
        <v>9001</v>
      </c>
      <c r="B10" s="212" t="s">
        <v>151</v>
      </c>
    </row>
    <row r="11" spans="1:4" ht="15.75" thickBot="1" x14ac:dyDescent="0.3">
      <c r="A11" s="211">
        <v>3001</v>
      </c>
      <c r="B11" s="212" t="s">
        <v>152</v>
      </c>
    </row>
    <row r="12" spans="1:4" ht="15.75" thickBot="1" x14ac:dyDescent="0.3">
      <c r="A12" s="211">
        <v>61002</v>
      </c>
      <c r="B12" s="212" t="s">
        <v>153</v>
      </c>
    </row>
    <row r="13" spans="1:4" ht="15.75" thickBot="1" x14ac:dyDescent="0.3">
      <c r="A13" s="211">
        <v>52001</v>
      </c>
      <c r="B13" s="212" t="s">
        <v>155</v>
      </c>
    </row>
    <row r="14" spans="1:4" ht="15.75" thickBot="1" x14ac:dyDescent="0.3">
      <c r="A14" s="211">
        <v>4002</v>
      </c>
      <c r="B14" s="212" t="s">
        <v>156</v>
      </c>
    </row>
    <row r="15" spans="1:4" ht="15.75" thickBot="1" x14ac:dyDescent="0.3">
      <c r="A15" s="211">
        <v>22001</v>
      </c>
      <c r="B15" s="212" t="s">
        <v>157</v>
      </c>
    </row>
    <row r="16" spans="1:4" ht="15.75" thickBot="1" x14ac:dyDescent="0.3">
      <c r="A16" s="211">
        <v>49002</v>
      </c>
      <c r="B16" s="212" t="s">
        <v>158</v>
      </c>
    </row>
    <row r="17" spans="1:2" ht="15.75" thickBot="1" x14ac:dyDescent="0.3">
      <c r="A17" s="211">
        <v>30003</v>
      </c>
      <c r="B17" s="212" t="s">
        <v>159</v>
      </c>
    </row>
    <row r="18" spans="1:2" ht="15.75" thickBot="1" x14ac:dyDescent="0.3">
      <c r="A18" s="211">
        <v>45004</v>
      </c>
      <c r="B18" s="212" t="s">
        <v>160</v>
      </c>
    </row>
    <row r="19" spans="1:2" ht="15.75" thickBot="1" x14ac:dyDescent="0.3">
      <c r="A19" s="211">
        <v>5001</v>
      </c>
      <c r="B19" s="212" t="s">
        <v>161</v>
      </c>
    </row>
    <row r="20" spans="1:2" ht="15.75" thickBot="1" x14ac:dyDescent="0.3">
      <c r="A20" s="211">
        <v>26002</v>
      </c>
      <c r="B20" s="212" t="s">
        <v>162</v>
      </c>
    </row>
    <row r="21" spans="1:2" ht="15.75" thickBot="1" x14ac:dyDescent="0.3">
      <c r="A21" s="211">
        <v>43001</v>
      </c>
      <c r="B21" s="212" t="s">
        <v>163</v>
      </c>
    </row>
    <row r="22" spans="1:2" ht="15.75" thickBot="1" x14ac:dyDescent="0.3">
      <c r="A22" s="211">
        <v>41001</v>
      </c>
      <c r="B22" s="212" t="s">
        <v>164</v>
      </c>
    </row>
    <row r="23" spans="1:2" ht="15.75" thickBot="1" x14ac:dyDescent="0.3">
      <c r="A23" s="211">
        <v>28001</v>
      </c>
      <c r="B23" s="212" t="s">
        <v>165</v>
      </c>
    </row>
    <row r="24" spans="1:2" ht="15.75" thickBot="1" x14ac:dyDescent="0.3">
      <c r="A24" s="211">
        <v>60001</v>
      </c>
      <c r="B24" s="212" t="s">
        <v>166</v>
      </c>
    </row>
    <row r="25" spans="1:2" ht="15.75" thickBot="1" x14ac:dyDescent="0.3">
      <c r="A25" s="211">
        <v>7001</v>
      </c>
      <c r="B25" s="212" t="s">
        <v>167</v>
      </c>
    </row>
    <row r="26" spans="1:2" ht="15.75" thickBot="1" x14ac:dyDescent="0.3">
      <c r="A26" s="211">
        <v>39001</v>
      </c>
      <c r="B26" s="212" t="s">
        <v>298</v>
      </c>
    </row>
    <row r="27" spans="1:2" ht="15.75" thickBot="1" x14ac:dyDescent="0.3">
      <c r="A27" s="211">
        <v>12002</v>
      </c>
      <c r="B27" s="212" t="s">
        <v>169</v>
      </c>
    </row>
    <row r="28" spans="1:2" ht="15.75" thickBot="1" x14ac:dyDescent="0.3">
      <c r="A28" s="211">
        <v>50005</v>
      </c>
      <c r="B28" s="212" t="s">
        <v>170</v>
      </c>
    </row>
    <row r="29" spans="1:2" ht="15.75" thickBot="1" x14ac:dyDescent="0.3">
      <c r="A29" s="211">
        <v>59003</v>
      </c>
      <c r="B29" s="212" t="s">
        <v>433</v>
      </c>
    </row>
    <row r="30" spans="1:2" ht="15.75" thickBot="1" x14ac:dyDescent="0.3">
      <c r="A30" s="211">
        <v>21003</v>
      </c>
      <c r="B30" s="212" t="s">
        <v>172</v>
      </c>
    </row>
    <row r="31" spans="1:2" ht="15.75" thickBot="1" x14ac:dyDescent="0.3">
      <c r="A31" s="211">
        <v>16001</v>
      </c>
      <c r="B31" s="212" t="s">
        <v>173</v>
      </c>
    </row>
    <row r="32" spans="1:2" ht="15.75" thickBot="1" x14ac:dyDescent="0.3">
      <c r="A32" s="211">
        <v>61008</v>
      </c>
      <c r="B32" s="212" t="s">
        <v>174</v>
      </c>
    </row>
    <row r="33" spans="1:2" ht="15.75" thickBot="1" x14ac:dyDescent="0.3">
      <c r="A33" s="211">
        <v>38002</v>
      </c>
      <c r="B33" s="212" t="s">
        <v>175</v>
      </c>
    </row>
    <row r="34" spans="1:2" ht="15.75" thickBot="1" x14ac:dyDescent="0.3">
      <c r="A34" s="211">
        <v>49003</v>
      </c>
      <c r="B34" s="212" t="s">
        <v>176</v>
      </c>
    </row>
    <row r="35" spans="1:2" ht="15.75" thickBot="1" x14ac:dyDescent="0.3">
      <c r="A35" s="211">
        <v>5006</v>
      </c>
      <c r="B35" s="212" t="s">
        <v>297</v>
      </c>
    </row>
    <row r="36" spans="1:2" ht="15.75" thickBot="1" x14ac:dyDescent="0.3">
      <c r="A36" s="211">
        <v>19004</v>
      </c>
      <c r="B36" s="212" t="s">
        <v>178</v>
      </c>
    </row>
    <row r="37" spans="1:2" ht="15.75" thickBot="1" x14ac:dyDescent="0.3">
      <c r="A37" s="211">
        <v>56002</v>
      </c>
      <c r="B37" s="212" t="s">
        <v>179</v>
      </c>
    </row>
    <row r="38" spans="1:2" ht="15.75" thickBot="1" x14ac:dyDescent="0.3">
      <c r="A38" s="211">
        <v>51001</v>
      </c>
      <c r="B38" s="212" t="s">
        <v>180</v>
      </c>
    </row>
    <row r="39" spans="1:2" ht="15.75" thickBot="1" x14ac:dyDescent="0.3">
      <c r="A39" s="211">
        <v>64002</v>
      </c>
      <c r="B39" s="212" t="s">
        <v>181</v>
      </c>
    </row>
    <row r="40" spans="1:2" ht="15.75" thickBot="1" x14ac:dyDescent="0.3">
      <c r="A40" s="211">
        <v>20001</v>
      </c>
      <c r="B40" s="212" t="s">
        <v>182</v>
      </c>
    </row>
    <row r="41" spans="1:2" ht="15.75" thickBot="1" x14ac:dyDescent="0.3">
      <c r="A41" s="211">
        <v>23001</v>
      </c>
      <c r="B41" s="212" t="s">
        <v>183</v>
      </c>
    </row>
    <row r="42" spans="1:2" ht="15.75" thickBot="1" x14ac:dyDescent="0.3">
      <c r="A42" s="211">
        <v>22005</v>
      </c>
      <c r="B42" s="212" t="s">
        <v>184</v>
      </c>
    </row>
    <row r="43" spans="1:2" ht="15.75" thickBot="1" x14ac:dyDescent="0.3">
      <c r="A43" s="211">
        <v>16002</v>
      </c>
      <c r="B43" s="212" t="s">
        <v>185</v>
      </c>
    </row>
    <row r="44" spans="1:2" ht="15.75" thickBot="1" x14ac:dyDescent="0.3">
      <c r="A44" s="211">
        <v>61007</v>
      </c>
      <c r="B44" s="212" t="s">
        <v>186</v>
      </c>
    </row>
    <row r="45" spans="1:2" ht="15.75" thickBot="1" x14ac:dyDescent="0.3">
      <c r="A45" s="211">
        <v>5003</v>
      </c>
      <c r="B45" s="212" t="s">
        <v>187</v>
      </c>
    </row>
    <row r="46" spans="1:2" ht="15.75" thickBot="1" x14ac:dyDescent="0.3">
      <c r="A46" s="211">
        <v>28002</v>
      </c>
      <c r="B46" s="212" t="s">
        <v>188</v>
      </c>
    </row>
    <row r="47" spans="1:2" ht="15.75" thickBot="1" x14ac:dyDescent="0.3">
      <c r="A47" s="211">
        <v>17001</v>
      </c>
      <c r="B47" s="212" t="s">
        <v>189</v>
      </c>
    </row>
    <row r="48" spans="1:2" ht="15.75" thickBot="1" x14ac:dyDescent="0.3">
      <c r="A48" s="211">
        <v>44001</v>
      </c>
      <c r="B48" s="212" t="s">
        <v>190</v>
      </c>
    </row>
    <row r="49" spans="1:2" ht="15.75" thickBot="1" x14ac:dyDescent="0.3">
      <c r="A49" s="211">
        <v>46002</v>
      </c>
      <c r="B49" s="212" t="s">
        <v>191</v>
      </c>
    </row>
    <row r="50" spans="1:2" ht="15.75" thickBot="1" x14ac:dyDescent="0.3">
      <c r="A50" s="211">
        <v>24004</v>
      </c>
      <c r="B50" s="212" t="s">
        <v>192</v>
      </c>
    </row>
    <row r="51" spans="1:2" ht="15.75" thickBot="1" x14ac:dyDescent="0.3">
      <c r="A51" s="211">
        <v>50003</v>
      </c>
      <c r="B51" s="212" t="s">
        <v>193</v>
      </c>
    </row>
    <row r="52" spans="1:2" ht="15.75" thickBot="1" x14ac:dyDescent="0.3">
      <c r="A52" s="211">
        <v>14001</v>
      </c>
      <c r="B52" s="212" t="s">
        <v>194</v>
      </c>
    </row>
    <row r="53" spans="1:2" ht="15.75" thickBot="1" x14ac:dyDescent="0.3">
      <c r="A53" s="211">
        <v>6002</v>
      </c>
      <c r="B53" s="212" t="s">
        <v>195</v>
      </c>
    </row>
    <row r="54" spans="1:2" ht="15.75" thickBot="1" x14ac:dyDescent="0.3">
      <c r="A54" s="211">
        <v>33001</v>
      </c>
      <c r="B54" s="212" t="s">
        <v>196</v>
      </c>
    </row>
    <row r="55" spans="1:2" ht="15.75" thickBot="1" x14ac:dyDescent="0.3">
      <c r="A55" s="211">
        <v>49004</v>
      </c>
      <c r="B55" s="212" t="s">
        <v>197</v>
      </c>
    </row>
    <row r="56" spans="1:2" ht="15.75" thickBot="1" x14ac:dyDescent="0.3">
      <c r="A56" s="211">
        <v>63001</v>
      </c>
      <c r="B56" s="212" t="s">
        <v>198</v>
      </c>
    </row>
    <row r="57" spans="1:2" ht="15.75" thickBot="1" x14ac:dyDescent="0.3">
      <c r="A57" s="211">
        <v>53001</v>
      </c>
      <c r="B57" s="212" t="s">
        <v>199</v>
      </c>
    </row>
    <row r="58" spans="1:2" ht="15.75" thickBot="1" x14ac:dyDescent="0.3">
      <c r="A58" s="211">
        <v>26004</v>
      </c>
      <c r="B58" s="212" t="s">
        <v>200</v>
      </c>
    </row>
    <row r="59" spans="1:2" ht="15.75" thickBot="1" x14ac:dyDescent="0.3">
      <c r="A59" s="211">
        <v>6006</v>
      </c>
      <c r="B59" s="212" t="s">
        <v>201</v>
      </c>
    </row>
    <row r="60" spans="1:2" ht="15.75" thickBot="1" x14ac:dyDescent="0.3">
      <c r="A60" s="211">
        <v>27001</v>
      </c>
      <c r="B60" s="212" t="s">
        <v>202</v>
      </c>
    </row>
    <row r="61" spans="1:2" ht="15.75" thickBot="1" x14ac:dyDescent="0.3">
      <c r="A61" s="211">
        <v>28003</v>
      </c>
      <c r="B61" s="212" t="s">
        <v>203</v>
      </c>
    </row>
    <row r="62" spans="1:2" ht="15.75" thickBot="1" x14ac:dyDescent="0.3">
      <c r="A62" s="211">
        <v>30001</v>
      </c>
      <c r="B62" s="212" t="s">
        <v>204</v>
      </c>
    </row>
    <row r="63" spans="1:2" ht="15.75" thickBot="1" x14ac:dyDescent="0.3">
      <c r="A63" s="211">
        <v>31001</v>
      </c>
      <c r="B63" s="212" t="s">
        <v>205</v>
      </c>
    </row>
    <row r="64" spans="1:2" ht="15.75" thickBot="1" x14ac:dyDescent="0.3">
      <c r="A64" s="211">
        <v>41002</v>
      </c>
      <c r="B64" s="212" t="s">
        <v>206</v>
      </c>
    </row>
    <row r="65" spans="1:2" ht="15.75" thickBot="1" x14ac:dyDescent="0.3">
      <c r="A65" s="211">
        <v>14002</v>
      </c>
      <c r="B65" s="212" t="s">
        <v>207</v>
      </c>
    </row>
    <row r="66" spans="1:2" ht="15.75" thickBot="1" x14ac:dyDescent="0.3">
      <c r="A66" s="211">
        <v>10001</v>
      </c>
      <c r="B66" s="212" t="s">
        <v>208</v>
      </c>
    </row>
    <row r="67" spans="1:2" ht="15.75" thickBot="1" x14ac:dyDescent="0.3">
      <c r="A67" s="211">
        <v>34002</v>
      </c>
      <c r="B67" s="212" t="s">
        <v>209</v>
      </c>
    </row>
    <row r="68" spans="1:2" ht="15.75" thickBot="1" x14ac:dyDescent="0.3">
      <c r="A68" s="211">
        <v>51002</v>
      </c>
      <c r="B68" s="212" t="s">
        <v>210</v>
      </c>
    </row>
    <row r="69" spans="1:2" ht="15.75" thickBot="1" x14ac:dyDescent="0.3">
      <c r="A69" s="211">
        <v>56006</v>
      </c>
      <c r="B69" s="212" t="s">
        <v>211</v>
      </c>
    </row>
    <row r="70" spans="1:2" ht="15.75" thickBot="1" x14ac:dyDescent="0.3">
      <c r="A70" s="211">
        <v>23002</v>
      </c>
      <c r="B70" s="212" t="s">
        <v>212</v>
      </c>
    </row>
    <row r="71" spans="1:2" ht="15.75" thickBot="1" x14ac:dyDescent="0.3">
      <c r="A71" s="211">
        <v>53002</v>
      </c>
      <c r="B71" s="212" t="s">
        <v>213</v>
      </c>
    </row>
    <row r="72" spans="1:2" ht="15.75" thickBot="1" x14ac:dyDescent="0.3">
      <c r="A72" s="211">
        <v>48003</v>
      </c>
      <c r="B72" s="212" t="s">
        <v>214</v>
      </c>
    </row>
    <row r="73" spans="1:2" ht="15.75" thickBot="1" x14ac:dyDescent="0.3">
      <c r="A73" s="211">
        <v>2002</v>
      </c>
      <c r="B73" s="212" t="s">
        <v>215</v>
      </c>
    </row>
    <row r="74" spans="1:2" ht="15.75" thickBot="1" x14ac:dyDescent="0.3">
      <c r="A74" s="211">
        <v>22006</v>
      </c>
      <c r="B74" s="212" t="s">
        <v>216</v>
      </c>
    </row>
    <row r="75" spans="1:2" ht="15.75" thickBot="1" x14ac:dyDescent="0.3">
      <c r="A75" s="211">
        <v>13003</v>
      </c>
      <c r="B75" s="212" t="s">
        <v>217</v>
      </c>
    </row>
    <row r="76" spans="1:2" ht="15.75" thickBot="1" x14ac:dyDescent="0.3">
      <c r="A76" s="211">
        <v>2003</v>
      </c>
      <c r="B76" s="212" t="s">
        <v>218</v>
      </c>
    </row>
    <row r="77" spans="1:2" ht="15.75" thickBot="1" x14ac:dyDescent="0.3">
      <c r="A77" s="211">
        <v>37003</v>
      </c>
      <c r="B77" s="212" t="s">
        <v>219</v>
      </c>
    </row>
    <row r="78" spans="1:2" ht="15.75" thickBot="1" x14ac:dyDescent="0.3">
      <c r="A78" s="211">
        <v>35002</v>
      </c>
      <c r="B78" s="212" t="s">
        <v>220</v>
      </c>
    </row>
    <row r="79" spans="1:2" ht="15.75" thickBot="1" x14ac:dyDescent="0.3">
      <c r="A79" s="211">
        <v>7002</v>
      </c>
      <c r="B79" s="212" t="s">
        <v>221</v>
      </c>
    </row>
    <row r="80" spans="1:2" ht="15.75" thickBot="1" x14ac:dyDescent="0.3">
      <c r="A80" s="211">
        <v>38003</v>
      </c>
      <c r="B80" s="212" t="s">
        <v>222</v>
      </c>
    </row>
    <row r="81" spans="1:2" ht="15.75" thickBot="1" x14ac:dyDescent="0.3">
      <c r="A81" s="211">
        <v>45005</v>
      </c>
      <c r="B81" s="212" t="s">
        <v>223</v>
      </c>
    </row>
    <row r="82" spans="1:2" ht="15.75" thickBot="1" x14ac:dyDescent="0.3">
      <c r="A82" s="211">
        <v>40001</v>
      </c>
      <c r="B82" s="212" t="s">
        <v>304</v>
      </c>
    </row>
    <row r="83" spans="1:2" ht="15.75" thickBot="1" x14ac:dyDescent="0.3">
      <c r="A83" s="211">
        <v>52004</v>
      </c>
      <c r="B83" s="212" t="s">
        <v>225</v>
      </c>
    </row>
    <row r="84" spans="1:2" ht="15.75" thickBot="1" x14ac:dyDescent="0.3">
      <c r="A84" s="211">
        <v>41004</v>
      </c>
      <c r="B84" s="212" t="s">
        <v>226</v>
      </c>
    </row>
    <row r="85" spans="1:2" ht="15.75" thickBot="1" x14ac:dyDescent="0.3">
      <c r="A85" s="211">
        <v>44002</v>
      </c>
      <c r="B85" s="212" t="s">
        <v>227</v>
      </c>
    </row>
    <row r="86" spans="1:2" ht="15.75" thickBot="1" x14ac:dyDescent="0.3">
      <c r="A86" s="211">
        <v>42001</v>
      </c>
      <c r="B86" s="212" t="s">
        <v>228</v>
      </c>
    </row>
    <row r="87" spans="1:2" ht="15.75" thickBot="1" x14ac:dyDescent="0.3">
      <c r="A87" s="211">
        <v>39002</v>
      </c>
      <c r="B87" s="212" t="s">
        <v>229</v>
      </c>
    </row>
    <row r="88" spans="1:2" ht="15.75" thickBot="1" x14ac:dyDescent="0.3">
      <c r="A88" s="211">
        <v>60003</v>
      </c>
      <c r="B88" s="212" t="s">
        <v>230</v>
      </c>
    </row>
    <row r="89" spans="1:2" ht="15.75" thickBot="1" x14ac:dyDescent="0.3">
      <c r="A89" s="211">
        <v>43007</v>
      </c>
      <c r="B89" s="212" t="s">
        <v>231</v>
      </c>
    </row>
    <row r="90" spans="1:2" ht="15.75" thickBot="1" x14ac:dyDescent="0.3">
      <c r="A90" s="211">
        <v>15001</v>
      </c>
      <c r="B90" s="212" t="s">
        <v>232</v>
      </c>
    </row>
    <row r="91" spans="1:2" ht="15.75" thickBot="1" x14ac:dyDescent="0.3">
      <c r="A91" s="211">
        <v>15002</v>
      </c>
      <c r="B91" s="212" t="s">
        <v>233</v>
      </c>
    </row>
    <row r="92" spans="1:2" ht="15.75" thickBot="1" x14ac:dyDescent="0.3">
      <c r="A92" s="211">
        <v>46001</v>
      </c>
      <c r="B92" s="212" t="s">
        <v>234</v>
      </c>
    </row>
    <row r="93" spans="1:2" ht="15.75" thickBot="1" x14ac:dyDescent="0.3">
      <c r="A93" s="211">
        <v>33002</v>
      </c>
      <c r="B93" s="212" t="s">
        <v>235</v>
      </c>
    </row>
    <row r="94" spans="1:2" ht="15.75" thickBot="1" x14ac:dyDescent="0.3">
      <c r="A94" s="211">
        <v>25004</v>
      </c>
      <c r="B94" s="212" t="s">
        <v>236</v>
      </c>
    </row>
    <row r="95" spans="1:2" ht="15.75" thickBot="1" x14ac:dyDescent="0.3">
      <c r="A95" s="211">
        <v>29004</v>
      </c>
      <c r="B95" s="212" t="s">
        <v>303</v>
      </c>
    </row>
    <row r="96" spans="1:2" ht="15.75" thickBot="1" x14ac:dyDescent="0.3">
      <c r="A96" s="211">
        <v>17002</v>
      </c>
      <c r="B96" s="212" t="s">
        <v>238</v>
      </c>
    </row>
    <row r="97" spans="1:2" ht="15.75" thickBot="1" x14ac:dyDescent="0.3">
      <c r="A97" s="211">
        <v>62006</v>
      </c>
      <c r="B97" s="212" t="s">
        <v>239</v>
      </c>
    </row>
    <row r="98" spans="1:2" ht="15.75" thickBot="1" x14ac:dyDescent="0.3">
      <c r="A98" s="211">
        <v>43002</v>
      </c>
      <c r="B98" s="212" t="s">
        <v>240</v>
      </c>
    </row>
    <row r="99" spans="1:2" ht="15.75" thickBot="1" x14ac:dyDescent="0.3">
      <c r="A99" s="211">
        <v>17003</v>
      </c>
      <c r="B99" s="212" t="s">
        <v>241</v>
      </c>
    </row>
    <row r="100" spans="1:2" ht="15.75" thickBot="1" x14ac:dyDescent="0.3">
      <c r="A100" s="211">
        <v>51003</v>
      </c>
      <c r="B100" s="212" t="s">
        <v>242</v>
      </c>
    </row>
    <row r="101" spans="1:2" ht="15.75" thickBot="1" x14ac:dyDescent="0.3">
      <c r="A101" s="211">
        <v>9002</v>
      </c>
      <c r="B101" s="212" t="s">
        <v>243</v>
      </c>
    </row>
    <row r="102" spans="1:2" ht="15.75" thickBot="1" x14ac:dyDescent="0.3">
      <c r="A102" s="211">
        <v>56007</v>
      </c>
      <c r="B102" s="212" t="s">
        <v>244</v>
      </c>
    </row>
    <row r="103" spans="1:2" ht="15.75" thickBot="1" x14ac:dyDescent="0.3">
      <c r="A103" s="211">
        <v>23003</v>
      </c>
      <c r="B103" s="212" t="s">
        <v>245</v>
      </c>
    </row>
    <row r="104" spans="1:2" ht="15.75" thickBot="1" x14ac:dyDescent="0.3">
      <c r="A104" s="211">
        <v>65001</v>
      </c>
      <c r="B104" s="212" t="s">
        <v>295</v>
      </c>
    </row>
    <row r="105" spans="1:2" ht="15.75" thickBot="1" x14ac:dyDescent="0.3">
      <c r="A105" s="211">
        <v>39006</v>
      </c>
      <c r="B105" s="212" t="s">
        <v>422</v>
      </c>
    </row>
    <row r="106" spans="1:2" ht="15.75" thickBot="1" x14ac:dyDescent="0.3">
      <c r="A106" s="211">
        <v>60004</v>
      </c>
      <c r="B106" s="212" t="s">
        <v>248</v>
      </c>
    </row>
    <row r="107" spans="1:2" ht="15.75" thickBot="1" x14ac:dyDescent="0.3">
      <c r="A107" s="211">
        <v>33003</v>
      </c>
      <c r="B107" s="212" t="s">
        <v>249</v>
      </c>
    </row>
    <row r="108" spans="1:2" ht="15.75" thickBot="1" x14ac:dyDescent="0.3">
      <c r="A108" s="211">
        <v>32002</v>
      </c>
      <c r="B108" s="212" t="s">
        <v>250</v>
      </c>
    </row>
    <row r="109" spans="1:2" ht="15.75" thickBot="1" x14ac:dyDescent="0.3">
      <c r="A109" s="211">
        <v>1001</v>
      </c>
      <c r="B109" s="212" t="s">
        <v>251</v>
      </c>
    </row>
    <row r="110" spans="1:2" ht="15.75" thickBot="1" x14ac:dyDescent="0.3">
      <c r="A110" s="211">
        <v>11005</v>
      </c>
      <c r="B110" s="212" t="s">
        <v>252</v>
      </c>
    </row>
    <row r="111" spans="1:2" ht="15.75" thickBot="1" x14ac:dyDescent="0.3">
      <c r="A111" s="211">
        <v>51004</v>
      </c>
      <c r="B111" s="212" t="s">
        <v>253</v>
      </c>
    </row>
    <row r="112" spans="1:2" ht="15.75" thickBot="1" x14ac:dyDescent="0.3">
      <c r="A112" s="211">
        <v>56004</v>
      </c>
      <c r="B112" s="212" t="s">
        <v>254</v>
      </c>
    </row>
    <row r="113" spans="1:2" ht="15.75" thickBot="1" x14ac:dyDescent="0.3">
      <c r="A113" s="211">
        <v>54004</v>
      </c>
      <c r="B113" s="212" t="s">
        <v>255</v>
      </c>
    </row>
    <row r="114" spans="1:2" ht="15.75" thickBot="1" x14ac:dyDescent="0.3">
      <c r="A114" s="211">
        <v>55005</v>
      </c>
      <c r="B114" s="212" t="s">
        <v>257</v>
      </c>
    </row>
    <row r="115" spans="1:2" ht="15.75" thickBot="1" x14ac:dyDescent="0.3">
      <c r="A115" s="211">
        <v>4003</v>
      </c>
      <c r="B115" s="212" t="s">
        <v>258</v>
      </c>
    </row>
    <row r="116" spans="1:2" ht="15.75" thickBot="1" x14ac:dyDescent="0.3">
      <c r="A116" s="211">
        <v>62005</v>
      </c>
      <c r="B116" s="212" t="s">
        <v>294</v>
      </c>
    </row>
    <row r="117" spans="1:2" ht="15.75" thickBot="1" x14ac:dyDescent="0.3">
      <c r="A117" s="211">
        <v>49005</v>
      </c>
      <c r="B117" s="212" t="s">
        <v>260</v>
      </c>
    </row>
    <row r="118" spans="1:2" ht="15.75" thickBot="1" x14ac:dyDescent="0.3">
      <c r="A118" s="211">
        <v>5005</v>
      </c>
      <c r="B118" s="212" t="s">
        <v>261</v>
      </c>
    </row>
    <row r="119" spans="1:2" ht="15.75" thickBot="1" x14ac:dyDescent="0.3">
      <c r="A119" s="211">
        <v>54002</v>
      </c>
      <c r="B119" s="212" t="s">
        <v>262</v>
      </c>
    </row>
    <row r="120" spans="1:2" ht="15.75" thickBot="1" x14ac:dyDescent="0.3">
      <c r="A120" s="211">
        <v>15003</v>
      </c>
      <c r="B120" s="212" t="s">
        <v>263</v>
      </c>
    </row>
    <row r="121" spans="1:2" ht="15.75" thickBot="1" x14ac:dyDescent="0.3">
      <c r="A121" s="211">
        <v>26005</v>
      </c>
      <c r="B121" s="212" t="s">
        <v>264</v>
      </c>
    </row>
    <row r="122" spans="1:2" ht="15.75" thickBot="1" x14ac:dyDescent="0.3">
      <c r="A122" s="211">
        <v>40002</v>
      </c>
      <c r="B122" s="212" t="s">
        <v>265</v>
      </c>
    </row>
    <row r="123" spans="1:2" ht="15.75" thickBot="1" x14ac:dyDescent="0.3">
      <c r="A123" s="211">
        <v>57001</v>
      </c>
      <c r="B123" s="212" t="s">
        <v>266</v>
      </c>
    </row>
    <row r="124" spans="1:2" ht="15.75" thickBot="1" x14ac:dyDescent="0.3">
      <c r="A124" s="211">
        <v>54006</v>
      </c>
      <c r="B124" s="212" t="s">
        <v>267</v>
      </c>
    </row>
    <row r="125" spans="1:2" ht="15.75" thickBot="1" x14ac:dyDescent="0.3">
      <c r="A125" s="211">
        <v>41005</v>
      </c>
      <c r="B125" s="212" t="s">
        <v>268</v>
      </c>
    </row>
    <row r="126" spans="1:2" ht="15.75" thickBot="1" x14ac:dyDescent="0.3">
      <c r="A126" s="211">
        <v>20003</v>
      </c>
      <c r="B126" s="212" t="s">
        <v>269</v>
      </c>
    </row>
    <row r="127" spans="1:2" ht="15.75" thickBot="1" x14ac:dyDescent="0.3">
      <c r="A127" s="211">
        <v>66001</v>
      </c>
      <c r="B127" s="212" t="s">
        <v>270</v>
      </c>
    </row>
    <row r="128" spans="1:2" ht="15.75" thickBot="1" x14ac:dyDescent="0.3">
      <c r="A128" s="211">
        <v>33005</v>
      </c>
      <c r="B128" s="212" t="s">
        <v>271</v>
      </c>
    </row>
    <row r="129" spans="1:2" ht="15.75" thickBot="1" x14ac:dyDescent="0.3">
      <c r="A129" s="211">
        <v>49006</v>
      </c>
      <c r="B129" s="212" t="s">
        <v>272</v>
      </c>
    </row>
    <row r="130" spans="1:2" ht="15.75" thickBot="1" x14ac:dyDescent="0.3">
      <c r="A130" s="211">
        <v>13001</v>
      </c>
      <c r="B130" s="212" t="s">
        <v>273</v>
      </c>
    </row>
    <row r="131" spans="1:2" ht="15.75" thickBot="1" x14ac:dyDescent="0.3">
      <c r="A131" s="211">
        <v>60006</v>
      </c>
      <c r="B131" s="212" t="s">
        <v>274</v>
      </c>
    </row>
    <row r="132" spans="1:2" ht="15.75" thickBot="1" x14ac:dyDescent="0.3">
      <c r="A132" s="211">
        <v>11004</v>
      </c>
      <c r="B132" s="212" t="s">
        <v>293</v>
      </c>
    </row>
    <row r="133" spans="1:2" ht="15.75" thickBot="1" x14ac:dyDescent="0.3">
      <c r="A133" s="211">
        <v>51005</v>
      </c>
      <c r="B133" s="212" t="s">
        <v>276</v>
      </c>
    </row>
    <row r="134" spans="1:2" ht="15.75" thickBot="1" x14ac:dyDescent="0.3">
      <c r="A134" s="211">
        <v>6005</v>
      </c>
      <c r="B134" s="212" t="s">
        <v>277</v>
      </c>
    </row>
    <row r="135" spans="1:2" ht="15.75" thickBot="1" x14ac:dyDescent="0.3">
      <c r="A135" s="211">
        <v>14004</v>
      </c>
      <c r="B135" s="212" t="s">
        <v>278</v>
      </c>
    </row>
    <row r="136" spans="1:2" ht="15.75" thickBot="1" x14ac:dyDescent="0.3">
      <c r="A136" s="211">
        <v>18003</v>
      </c>
      <c r="B136" s="212" t="s">
        <v>279</v>
      </c>
    </row>
    <row r="137" spans="1:2" ht="15.75" thickBot="1" x14ac:dyDescent="0.3">
      <c r="A137" s="211">
        <v>14005</v>
      </c>
      <c r="B137" s="212" t="s">
        <v>280</v>
      </c>
    </row>
    <row r="138" spans="1:2" ht="15.75" thickBot="1" x14ac:dyDescent="0.3">
      <c r="A138" s="211">
        <v>18005</v>
      </c>
      <c r="B138" s="212" t="s">
        <v>281</v>
      </c>
    </row>
    <row r="139" spans="1:2" ht="15.75" thickBot="1" x14ac:dyDescent="0.3">
      <c r="A139" s="211">
        <v>36002</v>
      </c>
      <c r="B139" s="212" t="s">
        <v>282</v>
      </c>
    </row>
    <row r="140" spans="1:2" ht="15.75" thickBot="1" x14ac:dyDescent="0.3">
      <c r="A140" s="211">
        <v>49007</v>
      </c>
      <c r="B140" s="212" t="s">
        <v>283</v>
      </c>
    </row>
    <row r="141" spans="1:2" ht="15.75" thickBot="1" x14ac:dyDescent="0.3">
      <c r="A141" s="211">
        <v>1003</v>
      </c>
      <c r="B141" s="212" t="s">
        <v>284</v>
      </c>
    </row>
    <row r="142" spans="1:2" ht="15.75" thickBot="1" x14ac:dyDescent="0.3">
      <c r="A142" s="211">
        <v>47001</v>
      </c>
      <c r="B142" s="212" t="s">
        <v>285</v>
      </c>
    </row>
    <row r="143" spans="1:2" ht="15.75" thickBot="1" x14ac:dyDescent="0.3">
      <c r="A143" s="211">
        <v>12003</v>
      </c>
      <c r="B143" s="212" t="s">
        <v>286</v>
      </c>
    </row>
    <row r="144" spans="1:2" ht="15.75" thickBot="1" x14ac:dyDescent="0.3">
      <c r="A144" s="211">
        <v>54007</v>
      </c>
      <c r="B144" s="212" t="s">
        <v>287</v>
      </c>
    </row>
    <row r="145" spans="1:2" ht="15.75" thickBot="1" x14ac:dyDescent="0.3">
      <c r="A145" s="211">
        <v>59002</v>
      </c>
      <c r="B145" s="212" t="s">
        <v>288</v>
      </c>
    </row>
    <row r="146" spans="1:2" ht="15.75" thickBot="1" x14ac:dyDescent="0.3">
      <c r="A146" s="211">
        <v>2006</v>
      </c>
      <c r="B146" s="212" t="s">
        <v>289</v>
      </c>
    </row>
    <row r="147" spans="1:2" ht="15.75" thickBot="1" x14ac:dyDescent="0.3">
      <c r="A147" s="211">
        <v>55004</v>
      </c>
      <c r="B147" s="212" t="s">
        <v>290</v>
      </c>
    </row>
    <row r="148" spans="1:2" ht="15.75" thickBot="1" x14ac:dyDescent="0.3">
      <c r="A148" s="211">
        <v>63003</v>
      </c>
      <c r="B148" s="212" t="s">
        <v>291</v>
      </c>
    </row>
  </sheetData>
  <sheetProtection algorithmName="SHA-512" hashValue="LcQ6ec9SsHFwE3oeZDUDp78EA1+/YsqvnRBikIYFZhxMDFYeGwHtfFsNCsVW2CRyCrAXe+4PgXq3rd3u7FVBZQ==" saltValue="HxCGmMEv1cqLaha+kRlvm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75E3-A76E-4071-A280-E61DFC1F32B6}">
  <sheetPr>
    <pageSetUpPr fitToPage="1"/>
  </sheetPr>
  <dimension ref="A1:T164"/>
  <sheetViews>
    <sheetView showGridLines="0" zoomScaleNormal="100" workbookViewId="0">
      <pane ySplit="5" topLeftCell="A139" activePane="bottomLeft" state="frozen"/>
      <selection pane="bottomLeft" activeCell="V163" sqref="S157:V163"/>
    </sheetView>
  </sheetViews>
  <sheetFormatPr defaultColWidth="9.140625" defaultRowHeight="12.75" x14ac:dyDescent="0.2"/>
  <cols>
    <col min="1" max="1" width="24.85546875" style="81" customWidth="1"/>
    <col min="2" max="2" width="6.5703125" style="81" bestFit="1" customWidth="1"/>
    <col min="3" max="3" width="9.85546875" style="82" bestFit="1" customWidth="1"/>
    <col min="4" max="4" width="14.28515625" style="82" bestFit="1" customWidth="1"/>
    <col min="5" max="5" width="10.28515625" style="82" bestFit="1" customWidth="1"/>
    <col min="6" max="6" width="13.5703125" style="83" customWidth="1"/>
    <col min="7" max="7" width="8" style="83" bestFit="1" customWidth="1"/>
    <col min="8" max="9" width="7.42578125" style="82" bestFit="1" customWidth="1"/>
    <col min="10" max="10" width="6.7109375" style="82" bestFit="1" customWidth="1"/>
    <col min="11" max="11" width="7.42578125" style="82" bestFit="1" customWidth="1"/>
    <col min="12" max="12" width="12.28515625" style="84" bestFit="1" customWidth="1"/>
    <col min="13" max="13" width="12.28515625" style="82" bestFit="1" customWidth="1"/>
    <col min="14" max="14" width="10.85546875" style="82" bestFit="1" customWidth="1"/>
    <col min="15" max="15" width="13.7109375" style="82" bestFit="1" customWidth="1"/>
    <col min="16" max="16" width="13.42578125" style="82" bestFit="1" customWidth="1"/>
    <col min="17" max="17" width="9.5703125" style="84" bestFit="1" customWidth="1"/>
    <col min="18" max="18" width="13.42578125" style="84" bestFit="1" customWidth="1"/>
    <col min="19" max="19" width="13.42578125" style="82" bestFit="1" customWidth="1"/>
    <col min="20" max="20" width="12.28515625" style="82" bestFit="1" customWidth="1"/>
    <col min="21" max="16384" width="9.140625" style="82"/>
  </cols>
  <sheetData>
    <row r="1" spans="1:20" ht="18.75" x14ac:dyDescent="0.3">
      <c r="A1" s="80" t="s">
        <v>451</v>
      </c>
    </row>
    <row r="2" spans="1:20" x14ac:dyDescent="0.2">
      <c r="A2" s="85" t="s">
        <v>432</v>
      </c>
      <c r="Q2" s="239"/>
    </row>
    <row r="3" spans="1:20" x14ac:dyDescent="0.2">
      <c r="A3" s="85"/>
      <c r="Q3" s="239"/>
    </row>
    <row r="4" spans="1:20" s="90" customFormat="1" x14ac:dyDescent="0.2">
      <c r="A4" s="85" t="s">
        <v>349</v>
      </c>
      <c r="B4" s="86"/>
      <c r="C4" s="86" t="s">
        <v>406</v>
      </c>
      <c r="D4" s="86" t="s">
        <v>406</v>
      </c>
      <c r="E4" s="86"/>
      <c r="F4" s="87" t="s">
        <v>407</v>
      </c>
      <c r="G4" s="87"/>
      <c r="H4" s="88" t="s">
        <v>408</v>
      </c>
      <c r="I4" s="86" t="s">
        <v>409</v>
      </c>
      <c r="J4" s="86" t="s">
        <v>410</v>
      </c>
      <c r="K4" s="86" t="s">
        <v>411</v>
      </c>
      <c r="L4" s="262">
        <v>62045.62</v>
      </c>
      <c r="M4" s="86" t="s">
        <v>412</v>
      </c>
      <c r="N4" s="86" t="s">
        <v>413</v>
      </c>
      <c r="O4" s="86" t="s">
        <v>459</v>
      </c>
      <c r="P4" s="86" t="s">
        <v>414</v>
      </c>
      <c r="Q4" s="89" t="s">
        <v>415</v>
      </c>
      <c r="R4" s="89"/>
    </row>
    <row r="5" spans="1:20" ht="63.75" x14ac:dyDescent="0.2">
      <c r="A5" s="231" t="s">
        <v>351</v>
      </c>
      <c r="B5" s="232" t="s">
        <v>350</v>
      </c>
      <c r="C5" s="231" t="s">
        <v>448</v>
      </c>
      <c r="D5" s="231" t="s">
        <v>449</v>
      </c>
      <c r="E5" s="231" t="s">
        <v>429</v>
      </c>
      <c r="F5" s="233" t="s">
        <v>450</v>
      </c>
      <c r="G5" s="233" t="s">
        <v>430</v>
      </c>
      <c r="H5" s="231" t="s">
        <v>336</v>
      </c>
      <c r="I5" s="234" t="s">
        <v>352</v>
      </c>
      <c r="J5" s="231" t="s">
        <v>353</v>
      </c>
      <c r="K5" s="231" t="s">
        <v>354</v>
      </c>
      <c r="L5" s="235" t="s">
        <v>355</v>
      </c>
      <c r="M5" s="231" t="s">
        <v>356</v>
      </c>
      <c r="N5" s="231" t="s">
        <v>357</v>
      </c>
      <c r="O5" s="231" t="s">
        <v>458</v>
      </c>
      <c r="P5" s="231" t="s">
        <v>358</v>
      </c>
      <c r="Q5" s="235" t="s">
        <v>359</v>
      </c>
      <c r="R5" s="235" t="s">
        <v>360</v>
      </c>
      <c r="S5" s="91" t="s">
        <v>391</v>
      </c>
      <c r="T5" s="91" t="s">
        <v>457</v>
      </c>
    </row>
    <row r="6" spans="1:20" x14ac:dyDescent="0.2">
      <c r="A6" s="92" t="s">
        <v>251</v>
      </c>
      <c r="B6" s="93">
        <v>1001</v>
      </c>
      <c r="C6" s="94">
        <v>266.5</v>
      </c>
      <c r="D6" s="94">
        <v>0</v>
      </c>
      <c r="E6" s="94">
        <f>SUM(C6:D6)</f>
        <v>266.5</v>
      </c>
      <c r="F6" s="95">
        <v>9.5</v>
      </c>
      <c r="G6" s="95">
        <f>F6/0.25</f>
        <v>38</v>
      </c>
      <c r="H6" s="95">
        <f>(((C6+D6-19))*0.0075)+10.5</f>
        <v>12.356249999999999</v>
      </c>
      <c r="I6" s="95">
        <f>(C6+D6)/H6</f>
        <v>21.568032372281234</v>
      </c>
      <c r="J6" s="95">
        <f t="shared" ref="J6:J68" si="0">F6/H6</f>
        <v>0.76884167931208902</v>
      </c>
      <c r="K6" s="95">
        <f t="shared" ref="K6:K68" si="1">I6+J6</f>
        <v>22.336874051593323</v>
      </c>
      <c r="L6" s="263">
        <f t="shared" ref="L6:L68" si="2">$L$4*1.29</f>
        <v>80038.849800000011</v>
      </c>
      <c r="M6" s="96">
        <f t="shared" ref="M6:M68" si="3">K6*L6</f>
        <v>1787817.7072169958</v>
      </c>
      <c r="N6" s="96">
        <f>M6*0.3878</f>
        <v>693315.7068587509</v>
      </c>
      <c r="O6" s="96">
        <v>0</v>
      </c>
      <c r="P6" s="96">
        <f t="shared" ref="P6:P68" si="4">M6+N6+O6</f>
        <v>2481133.4140757467</v>
      </c>
      <c r="Q6" s="96">
        <v>0</v>
      </c>
      <c r="R6" s="96">
        <f t="shared" ref="R6:R68" si="5">IF(Q6=0,P6,Q6)</f>
        <v>2481133.4140757467</v>
      </c>
      <c r="S6" s="82">
        <v>674680</v>
      </c>
      <c r="T6" s="82">
        <v>152295.52000000002</v>
      </c>
    </row>
    <row r="7" spans="1:20" ht="13.5" customHeight="1" x14ac:dyDescent="0.2">
      <c r="A7" s="97" t="s">
        <v>284</v>
      </c>
      <c r="B7" s="98">
        <v>1003</v>
      </c>
      <c r="C7" s="94">
        <v>120</v>
      </c>
      <c r="D7" s="94">
        <v>0</v>
      </c>
      <c r="E7" s="94">
        <f t="shared" ref="E7:E69" si="6">SUM(C7:D7)</f>
        <v>120</v>
      </c>
      <c r="F7" s="95">
        <v>0</v>
      </c>
      <c r="G7" s="95">
        <f t="shared" ref="G7:G69" si="7">F7/0.25</f>
        <v>0</v>
      </c>
      <c r="H7" s="100">
        <f>IF((C7+D7)&lt;200,12,IF((C7+D7)&gt;600,15,((C7+D7)*0.0075)+10.5))</f>
        <v>12</v>
      </c>
      <c r="I7" s="100">
        <f t="shared" ref="I7:I69" si="8">(C7+D7)/H7</f>
        <v>10</v>
      </c>
      <c r="J7" s="100">
        <f t="shared" si="0"/>
        <v>0</v>
      </c>
      <c r="K7" s="100">
        <f t="shared" si="1"/>
        <v>10</v>
      </c>
      <c r="L7" s="101">
        <f t="shared" si="2"/>
        <v>80038.849800000011</v>
      </c>
      <c r="M7" s="101">
        <f t="shared" si="3"/>
        <v>800388.49800000014</v>
      </c>
      <c r="N7" s="101">
        <f t="shared" ref="N7:N69" si="9">M7*0.3878</f>
        <v>310390.65952440002</v>
      </c>
      <c r="O7" s="96">
        <v>0</v>
      </c>
      <c r="P7" s="101">
        <f t="shared" si="4"/>
        <v>1110779.1575244002</v>
      </c>
      <c r="Q7" s="101">
        <v>0</v>
      </c>
      <c r="R7" s="101">
        <f t="shared" si="5"/>
        <v>1110779.1575244002</v>
      </c>
      <c r="S7" s="82">
        <v>450425</v>
      </c>
      <c r="T7" s="82">
        <v>221895.87</v>
      </c>
    </row>
    <row r="8" spans="1:20" ht="13.5" customHeight="1" x14ac:dyDescent="0.2">
      <c r="A8" s="97" t="s">
        <v>215</v>
      </c>
      <c r="B8" s="98">
        <v>2002</v>
      </c>
      <c r="C8" s="94">
        <v>3082.79</v>
      </c>
      <c r="D8" s="94">
        <v>0.2</v>
      </c>
      <c r="E8" s="94">
        <f t="shared" si="6"/>
        <v>3082.99</v>
      </c>
      <c r="F8" s="95">
        <v>200.5</v>
      </c>
      <c r="G8" s="95">
        <f t="shared" si="7"/>
        <v>802</v>
      </c>
      <c r="H8" s="100">
        <f t="shared" ref="H8:H70" si="10">IF((C8+D8)&lt;200,12,IF((C8+D8)&gt;600,15,((C8+D8)*0.0075)+10.5))</f>
        <v>15</v>
      </c>
      <c r="I8" s="100">
        <f t="shared" si="8"/>
        <v>205.53266666666664</v>
      </c>
      <c r="J8" s="100">
        <f t="shared" si="0"/>
        <v>13.366666666666667</v>
      </c>
      <c r="K8" s="100">
        <f t="shared" si="1"/>
        <v>218.89933333333332</v>
      </c>
      <c r="L8" s="101">
        <f t="shared" si="2"/>
        <v>80038.849800000011</v>
      </c>
      <c r="M8" s="101">
        <f t="shared" si="3"/>
        <v>17520450.861986801</v>
      </c>
      <c r="N8" s="101">
        <f t="shared" si="9"/>
        <v>6794430.8442784809</v>
      </c>
      <c r="O8" s="96">
        <v>9493</v>
      </c>
      <c r="P8" s="101">
        <f t="shared" si="4"/>
        <v>24324374.706265282</v>
      </c>
      <c r="Q8" s="101">
        <v>0</v>
      </c>
      <c r="R8" s="101">
        <f t="shared" si="5"/>
        <v>24324374.706265282</v>
      </c>
      <c r="S8" s="82">
        <v>4969932</v>
      </c>
      <c r="T8" s="82">
        <v>755290.61</v>
      </c>
    </row>
    <row r="9" spans="1:20" ht="13.5" customHeight="1" x14ac:dyDescent="0.2">
      <c r="A9" s="97" t="s">
        <v>218</v>
      </c>
      <c r="B9" s="98">
        <v>2003</v>
      </c>
      <c r="C9" s="94">
        <v>214</v>
      </c>
      <c r="D9" s="94">
        <v>0</v>
      </c>
      <c r="E9" s="94">
        <f t="shared" si="6"/>
        <v>214</v>
      </c>
      <c r="F9" s="95">
        <v>4</v>
      </c>
      <c r="G9" s="95">
        <f t="shared" si="7"/>
        <v>16</v>
      </c>
      <c r="H9" s="100">
        <f t="shared" si="10"/>
        <v>12.105</v>
      </c>
      <c r="I9" s="100">
        <f t="shared" si="8"/>
        <v>17.678645187938869</v>
      </c>
      <c r="J9" s="100">
        <f t="shared" si="0"/>
        <v>0.33044196612969845</v>
      </c>
      <c r="K9" s="100">
        <f t="shared" si="1"/>
        <v>18.009087154068567</v>
      </c>
      <c r="L9" s="101">
        <f t="shared" si="2"/>
        <v>80038.849800000011</v>
      </c>
      <c r="M9" s="101">
        <f t="shared" si="3"/>
        <v>1441426.6217596037</v>
      </c>
      <c r="N9" s="101">
        <f t="shared" si="9"/>
        <v>558985.2439183743</v>
      </c>
      <c r="O9" s="96">
        <v>0</v>
      </c>
      <c r="P9" s="101">
        <f t="shared" si="4"/>
        <v>2000411.8656779779</v>
      </c>
      <c r="Q9" s="101">
        <v>0</v>
      </c>
      <c r="R9" s="101">
        <f t="shared" si="5"/>
        <v>2000411.8656779779</v>
      </c>
      <c r="S9" s="82">
        <v>1124514</v>
      </c>
      <c r="T9" s="82">
        <v>97247.32</v>
      </c>
    </row>
    <row r="10" spans="1:20" ht="13.5" customHeight="1" x14ac:dyDescent="0.2">
      <c r="A10" s="97" t="s">
        <v>289</v>
      </c>
      <c r="B10" s="98">
        <v>2006</v>
      </c>
      <c r="C10" s="94">
        <v>301</v>
      </c>
      <c r="D10" s="94">
        <v>0</v>
      </c>
      <c r="E10" s="94">
        <f t="shared" si="6"/>
        <v>301</v>
      </c>
      <c r="F10" s="95">
        <v>0</v>
      </c>
      <c r="G10" s="95">
        <f t="shared" si="7"/>
        <v>0</v>
      </c>
      <c r="H10" s="100">
        <f t="shared" si="10"/>
        <v>12.7575</v>
      </c>
      <c r="I10" s="100">
        <f t="shared" si="8"/>
        <v>23.593964334705074</v>
      </c>
      <c r="J10" s="100">
        <f t="shared" si="0"/>
        <v>0</v>
      </c>
      <c r="K10" s="100">
        <f t="shared" si="1"/>
        <v>23.593964334705074</v>
      </c>
      <c r="L10" s="101">
        <f t="shared" si="2"/>
        <v>80038.849800000011</v>
      </c>
      <c r="M10" s="101">
        <f t="shared" si="3"/>
        <v>1888433.7675720167</v>
      </c>
      <c r="N10" s="101">
        <f t="shared" si="9"/>
        <v>732334.61506442807</v>
      </c>
      <c r="O10" s="96">
        <v>0</v>
      </c>
      <c r="P10" s="101">
        <f t="shared" si="4"/>
        <v>2620768.3826364446</v>
      </c>
      <c r="Q10" s="101">
        <v>0</v>
      </c>
      <c r="R10" s="101">
        <f t="shared" si="5"/>
        <v>2620768.3826364446</v>
      </c>
      <c r="S10" s="82">
        <v>954548</v>
      </c>
      <c r="T10" s="82">
        <v>122852.92</v>
      </c>
    </row>
    <row r="11" spans="1:20" ht="13.5" customHeight="1" x14ac:dyDescent="0.2">
      <c r="A11" s="97" t="s">
        <v>152</v>
      </c>
      <c r="B11" s="98">
        <v>3001</v>
      </c>
      <c r="C11" s="94">
        <v>425.28</v>
      </c>
      <c r="D11" s="94">
        <v>0.30000000000000004</v>
      </c>
      <c r="E11" s="94">
        <f t="shared" si="6"/>
        <v>425.58</v>
      </c>
      <c r="F11" s="95">
        <v>0</v>
      </c>
      <c r="G11" s="95">
        <f t="shared" si="7"/>
        <v>0</v>
      </c>
      <c r="H11" s="100">
        <f t="shared" si="10"/>
        <v>13.691849999999999</v>
      </c>
      <c r="I11" s="100">
        <f t="shared" si="8"/>
        <v>31.08272439443903</v>
      </c>
      <c r="J11" s="100">
        <f t="shared" si="0"/>
        <v>0</v>
      </c>
      <c r="K11" s="100">
        <f t="shared" si="1"/>
        <v>31.08272439443903</v>
      </c>
      <c r="L11" s="101">
        <f t="shared" si="2"/>
        <v>80038.849800000011</v>
      </c>
      <c r="M11" s="101">
        <f t="shared" si="3"/>
        <v>2487825.5091813016</v>
      </c>
      <c r="N11" s="101">
        <f t="shared" si="9"/>
        <v>964778.73246050871</v>
      </c>
      <c r="O11" s="96">
        <v>0</v>
      </c>
      <c r="P11" s="101">
        <f t="shared" si="4"/>
        <v>3452604.2416418102</v>
      </c>
      <c r="Q11" s="101">
        <v>0</v>
      </c>
      <c r="R11" s="101">
        <f t="shared" si="5"/>
        <v>3452604.2416418102</v>
      </c>
      <c r="S11" s="82">
        <v>558710</v>
      </c>
      <c r="T11" s="82">
        <v>227262.96000000002</v>
      </c>
    </row>
    <row r="12" spans="1:20" ht="13.5" customHeight="1" x14ac:dyDescent="0.2">
      <c r="A12" s="97" t="s">
        <v>149</v>
      </c>
      <c r="B12" s="98">
        <v>4001</v>
      </c>
      <c r="C12" s="94">
        <v>215.38</v>
      </c>
      <c r="D12" s="94">
        <v>0</v>
      </c>
      <c r="E12" s="94">
        <f t="shared" si="6"/>
        <v>215.38</v>
      </c>
      <c r="F12" s="95">
        <v>0.25</v>
      </c>
      <c r="G12" s="95">
        <f t="shared" si="7"/>
        <v>1</v>
      </c>
      <c r="H12" s="100">
        <f t="shared" si="10"/>
        <v>12.115349999999999</v>
      </c>
      <c r="I12" s="100">
        <f t="shared" si="8"/>
        <v>17.777447618104308</v>
      </c>
      <c r="J12" s="100">
        <f t="shared" si="0"/>
        <v>2.0634979592005186E-2</v>
      </c>
      <c r="K12" s="100">
        <f t="shared" si="1"/>
        <v>17.798082597696315</v>
      </c>
      <c r="L12" s="101">
        <f t="shared" si="2"/>
        <v>80038.849800000011</v>
      </c>
      <c r="M12" s="101">
        <f t="shared" si="3"/>
        <v>1424538.0597650094</v>
      </c>
      <c r="N12" s="101">
        <f t="shared" si="9"/>
        <v>552435.85957687069</v>
      </c>
      <c r="O12" s="96">
        <v>0</v>
      </c>
      <c r="P12" s="101">
        <f t="shared" si="4"/>
        <v>1976973.9193418801</v>
      </c>
      <c r="Q12" s="101">
        <v>0</v>
      </c>
      <c r="R12" s="101">
        <f t="shared" si="5"/>
        <v>1976973.9193418801</v>
      </c>
      <c r="S12" s="82">
        <v>476606</v>
      </c>
      <c r="T12" s="82">
        <v>72281.170000000013</v>
      </c>
    </row>
    <row r="13" spans="1:20" ht="13.5" customHeight="1" x14ac:dyDescent="0.2">
      <c r="A13" s="97" t="s">
        <v>156</v>
      </c>
      <c r="B13" s="98">
        <v>4002</v>
      </c>
      <c r="C13" s="94">
        <v>551.42999999999995</v>
      </c>
      <c r="D13" s="94">
        <v>0</v>
      </c>
      <c r="E13" s="94">
        <f t="shared" si="6"/>
        <v>551.42999999999995</v>
      </c>
      <c r="F13" s="95">
        <v>5</v>
      </c>
      <c r="G13" s="95">
        <f t="shared" si="7"/>
        <v>20</v>
      </c>
      <c r="H13" s="100">
        <f t="shared" si="10"/>
        <v>14.635725000000001</v>
      </c>
      <c r="I13" s="100">
        <f t="shared" si="8"/>
        <v>37.676985595178913</v>
      </c>
      <c r="J13" s="100">
        <f t="shared" si="0"/>
        <v>0.34162981335055148</v>
      </c>
      <c r="K13" s="100">
        <f t="shared" si="1"/>
        <v>38.018615408529463</v>
      </c>
      <c r="L13" s="101">
        <f t="shared" si="2"/>
        <v>80038.849800000011</v>
      </c>
      <c r="M13" s="101">
        <f t="shared" si="3"/>
        <v>3042966.2482872559</v>
      </c>
      <c r="N13" s="101">
        <f t="shared" si="9"/>
        <v>1180062.3110857978</v>
      </c>
      <c r="O13" s="96">
        <v>0</v>
      </c>
      <c r="P13" s="101">
        <f t="shared" si="4"/>
        <v>4223028.5593730537</v>
      </c>
      <c r="Q13" s="101">
        <v>0</v>
      </c>
      <c r="R13" s="101">
        <f t="shared" si="5"/>
        <v>4223028.5593730537</v>
      </c>
      <c r="S13" s="82">
        <v>1323116</v>
      </c>
      <c r="T13" s="82">
        <v>208497.82</v>
      </c>
    </row>
    <row r="14" spans="1:20" ht="13.5" customHeight="1" x14ac:dyDescent="0.2">
      <c r="A14" s="97" t="s">
        <v>258</v>
      </c>
      <c r="B14" s="98">
        <v>4003</v>
      </c>
      <c r="C14" s="94">
        <v>241.39</v>
      </c>
      <c r="D14" s="94">
        <v>0</v>
      </c>
      <c r="E14" s="94">
        <f t="shared" si="6"/>
        <v>241.39</v>
      </c>
      <c r="F14" s="95">
        <v>0</v>
      </c>
      <c r="G14" s="95">
        <f t="shared" si="7"/>
        <v>0</v>
      </c>
      <c r="H14" s="100">
        <f t="shared" si="10"/>
        <v>12.310425</v>
      </c>
      <c r="I14" s="100">
        <f t="shared" si="8"/>
        <v>19.608583781632234</v>
      </c>
      <c r="J14" s="100">
        <f t="shared" si="0"/>
        <v>0</v>
      </c>
      <c r="K14" s="100">
        <f t="shared" si="1"/>
        <v>19.608583781632234</v>
      </c>
      <c r="L14" s="101">
        <f t="shared" si="2"/>
        <v>80038.849800000011</v>
      </c>
      <c r="M14" s="101">
        <f t="shared" si="3"/>
        <v>1569448.4920887786</v>
      </c>
      <c r="N14" s="101">
        <f t="shared" si="9"/>
        <v>608632.12523202831</v>
      </c>
      <c r="O14" s="96">
        <v>0</v>
      </c>
      <c r="P14" s="101">
        <f t="shared" si="4"/>
        <v>2178080.6173208067</v>
      </c>
      <c r="Q14" s="101">
        <v>0</v>
      </c>
      <c r="R14" s="101">
        <f t="shared" si="5"/>
        <v>2178080.6173208067</v>
      </c>
      <c r="S14" s="82">
        <v>816478</v>
      </c>
      <c r="T14" s="82">
        <v>118732.13</v>
      </c>
    </row>
    <row r="15" spans="1:20" ht="13.5" customHeight="1" x14ac:dyDescent="0.2">
      <c r="A15" s="97" t="s">
        <v>161</v>
      </c>
      <c r="B15" s="98">
        <v>5001</v>
      </c>
      <c r="C15" s="94">
        <v>3522.64</v>
      </c>
      <c r="D15" s="94">
        <v>0</v>
      </c>
      <c r="E15" s="94">
        <f t="shared" si="6"/>
        <v>3522.64</v>
      </c>
      <c r="F15" s="95">
        <v>33.5</v>
      </c>
      <c r="G15" s="95">
        <f t="shared" si="7"/>
        <v>134</v>
      </c>
      <c r="H15" s="100">
        <f t="shared" si="10"/>
        <v>15</v>
      </c>
      <c r="I15" s="100">
        <f t="shared" si="8"/>
        <v>234.84266666666664</v>
      </c>
      <c r="J15" s="100">
        <f t="shared" si="0"/>
        <v>2.2333333333333334</v>
      </c>
      <c r="K15" s="100">
        <f t="shared" si="1"/>
        <v>237.07599999999996</v>
      </c>
      <c r="L15" s="101">
        <f t="shared" si="2"/>
        <v>80038.849800000011</v>
      </c>
      <c r="M15" s="101">
        <f t="shared" si="3"/>
        <v>18975290.355184801</v>
      </c>
      <c r="N15" s="101">
        <f t="shared" si="9"/>
        <v>7358617.5997406654</v>
      </c>
      <c r="O15" s="96">
        <v>0</v>
      </c>
      <c r="P15" s="101">
        <f t="shared" si="4"/>
        <v>26333907.954925466</v>
      </c>
      <c r="Q15" s="101">
        <v>0</v>
      </c>
      <c r="R15" s="101">
        <f t="shared" si="5"/>
        <v>26333907.954925466</v>
      </c>
      <c r="S15" s="82">
        <v>9246925</v>
      </c>
      <c r="T15" s="82">
        <v>1266953.29</v>
      </c>
    </row>
    <row r="16" spans="1:20" ht="13.5" customHeight="1" x14ac:dyDescent="0.2">
      <c r="A16" s="97" t="s">
        <v>187</v>
      </c>
      <c r="B16" s="98">
        <v>5003</v>
      </c>
      <c r="C16" s="94">
        <v>351.33</v>
      </c>
      <c r="D16" s="94">
        <v>0</v>
      </c>
      <c r="E16" s="94">
        <f t="shared" si="6"/>
        <v>351.33</v>
      </c>
      <c r="F16" s="95">
        <v>12</v>
      </c>
      <c r="G16" s="95">
        <f t="shared" si="7"/>
        <v>48</v>
      </c>
      <c r="H16" s="100">
        <f t="shared" si="10"/>
        <v>13.134975000000001</v>
      </c>
      <c r="I16" s="100">
        <f t="shared" si="8"/>
        <v>26.747671769455213</v>
      </c>
      <c r="J16" s="100">
        <f t="shared" si="0"/>
        <v>0.91359138483324098</v>
      </c>
      <c r="K16" s="100">
        <f t="shared" si="1"/>
        <v>27.661263154288452</v>
      </c>
      <c r="L16" s="101">
        <f t="shared" si="2"/>
        <v>80038.849800000011</v>
      </c>
      <c r="M16" s="101">
        <f t="shared" si="3"/>
        <v>2213975.6868843678</v>
      </c>
      <c r="N16" s="101">
        <f t="shared" si="9"/>
        <v>858579.77137375774</v>
      </c>
      <c r="O16" s="96">
        <v>0</v>
      </c>
      <c r="P16" s="101">
        <f t="shared" si="4"/>
        <v>3072555.4582581255</v>
      </c>
      <c r="Q16" s="101">
        <v>0</v>
      </c>
      <c r="R16" s="101">
        <f t="shared" si="5"/>
        <v>3072555.4582581255</v>
      </c>
      <c r="S16" s="82">
        <v>1491444</v>
      </c>
      <c r="T16" s="82">
        <v>340206.2</v>
      </c>
    </row>
    <row r="17" spans="1:20" ht="13.5" customHeight="1" x14ac:dyDescent="0.2">
      <c r="A17" s="97" t="s">
        <v>261</v>
      </c>
      <c r="B17" s="98">
        <v>5005</v>
      </c>
      <c r="C17" s="94">
        <v>743.88</v>
      </c>
      <c r="D17" s="94">
        <v>0</v>
      </c>
      <c r="E17" s="94">
        <f t="shared" si="6"/>
        <v>743.88</v>
      </c>
      <c r="F17" s="95">
        <v>1.5</v>
      </c>
      <c r="G17" s="95">
        <f t="shared" si="7"/>
        <v>6</v>
      </c>
      <c r="H17" s="100">
        <f t="shared" si="10"/>
        <v>15</v>
      </c>
      <c r="I17" s="100">
        <f t="shared" si="8"/>
        <v>49.591999999999999</v>
      </c>
      <c r="J17" s="100">
        <f t="shared" si="0"/>
        <v>0.1</v>
      </c>
      <c r="K17" s="100">
        <f t="shared" si="1"/>
        <v>49.692</v>
      </c>
      <c r="L17" s="101">
        <f t="shared" si="2"/>
        <v>80038.849800000011</v>
      </c>
      <c r="M17" s="101">
        <f t="shared" si="3"/>
        <v>3977290.5242616003</v>
      </c>
      <c r="N17" s="101">
        <f t="shared" si="9"/>
        <v>1542393.2653086486</v>
      </c>
      <c r="O17" s="96">
        <v>0</v>
      </c>
      <c r="P17" s="101">
        <f t="shared" si="4"/>
        <v>5519683.7895702487</v>
      </c>
      <c r="Q17" s="101">
        <v>0</v>
      </c>
      <c r="R17" s="101">
        <f t="shared" si="5"/>
        <v>5519683.7895702487</v>
      </c>
      <c r="S17" s="82">
        <v>1432940</v>
      </c>
      <c r="T17" s="82">
        <v>232526.05</v>
      </c>
    </row>
    <row r="18" spans="1:20" ht="13.5" customHeight="1" x14ac:dyDescent="0.2">
      <c r="A18" s="97" t="s">
        <v>297</v>
      </c>
      <c r="B18" s="98">
        <v>5006</v>
      </c>
      <c r="C18" s="94">
        <v>403</v>
      </c>
      <c r="D18" s="94">
        <v>0.1</v>
      </c>
      <c r="E18" s="94">
        <f t="shared" si="6"/>
        <v>403.1</v>
      </c>
      <c r="F18" s="95">
        <v>8.5</v>
      </c>
      <c r="G18" s="95">
        <f t="shared" si="7"/>
        <v>34</v>
      </c>
      <c r="H18" s="100">
        <f t="shared" si="10"/>
        <v>13.523250000000001</v>
      </c>
      <c r="I18" s="100">
        <f t="shared" si="8"/>
        <v>29.807923391196642</v>
      </c>
      <c r="J18" s="100">
        <f t="shared" si="0"/>
        <v>0.6285471317915442</v>
      </c>
      <c r="K18" s="100">
        <f t="shared" si="1"/>
        <v>30.436470522988188</v>
      </c>
      <c r="L18" s="101">
        <f t="shared" si="2"/>
        <v>80038.849800000011</v>
      </c>
      <c r="M18" s="101">
        <f t="shared" si="3"/>
        <v>2436100.0926315794</v>
      </c>
      <c r="N18" s="101">
        <f t="shared" si="9"/>
        <v>944719.61592252646</v>
      </c>
      <c r="O18" s="96">
        <v>0</v>
      </c>
      <c r="P18" s="101">
        <f t="shared" si="4"/>
        <v>3380819.7085541058</v>
      </c>
      <c r="Q18" s="101">
        <v>0</v>
      </c>
      <c r="R18" s="101">
        <f t="shared" si="5"/>
        <v>3380819.7085541058</v>
      </c>
      <c r="S18" s="82">
        <v>1288040</v>
      </c>
      <c r="T18" s="82">
        <v>622344.91999999993</v>
      </c>
    </row>
    <row r="19" spans="1:20" ht="13.5" customHeight="1" x14ac:dyDescent="0.2">
      <c r="A19" s="97" t="s">
        <v>143</v>
      </c>
      <c r="B19" s="98">
        <v>6001</v>
      </c>
      <c r="C19" s="94">
        <v>4261.4799999999996</v>
      </c>
      <c r="D19" s="94">
        <v>0</v>
      </c>
      <c r="E19" s="94">
        <f t="shared" si="6"/>
        <v>4261.4799999999996</v>
      </c>
      <c r="F19" s="95">
        <v>47.75</v>
      </c>
      <c r="G19" s="95">
        <f t="shared" si="7"/>
        <v>191</v>
      </c>
      <c r="H19" s="100">
        <f t="shared" si="10"/>
        <v>15</v>
      </c>
      <c r="I19" s="100">
        <f t="shared" si="8"/>
        <v>284.09866666666665</v>
      </c>
      <c r="J19" s="100">
        <f t="shared" si="0"/>
        <v>3.1833333333333331</v>
      </c>
      <c r="K19" s="100">
        <f t="shared" si="1"/>
        <v>287.28199999999998</v>
      </c>
      <c r="L19" s="101">
        <f t="shared" si="2"/>
        <v>80038.849800000011</v>
      </c>
      <c r="M19" s="101">
        <f t="shared" si="3"/>
        <v>22993720.848243602</v>
      </c>
      <c r="N19" s="101">
        <f t="shared" si="9"/>
        <v>8916964.9449488688</v>
      </c>
      <c r="O19" s="96">
        <v>6931</v>
      </c>
      <c r="P19" s="101">
        <f t="shared" si="4"/>
        <v>31917616.793192469</v>
      </c>
      <c r="Q19" s="101">
        <v>0</v>
      </c>
      <c r="R19" s="101">
        <f t="shared" si="5"/>
        <v>31917616.793192469</v>
      </c>
      <c r="S19" s="82">
        <v>11751603</v>
      </c>
      <c r="T19" s="82">
        <v>1381919.67</v>
      </c>
    </row>
    <row r="20" spans="1:20" ht="13.5" customHeight="1" x14ac:dyDescent="0.2">
      <c r="A20" s="97" t="s">
        <v>195</v>
      </c>
      <c r="B20" s="98">
        <v>6002</v>
      </c>
      <c r="C20" s="94">
        <v>173</v>
      </c>
      <c r="D20" s="94">
        <v>0</v>
      </c>
      <c r="E20" s="94">
        <f t="shared" si="6"/>
        <v>173</v>
      </c>
      <c r="F20" s="95">
        <v>0</v>
      </c>
      <c r="G20" s="95">
        <f t="shared" si="7"/>
        <v>0</v>
      </c>
      <c r="H20" s="100">
        <f t="shared" si="10"/>
        <v>12</v>
      </c>
      <c r="I20" s="100">
        <f t="shared" si="8"/>
        <v>14.416666666666666</v>
      </c>
      <c r="J20" s="100">
        <f t="shared" si="0"/>
        <v>0</v>
      </c>
      <c r="K20" s="100">
        <f t="shared" si="1"/>
        <v>14.416666666666666</v>
      </c>
      <c r="L20" s="101">
        <f t="shared" si="2"/>
        <v>80038.849800000011</v>
      </c>
      <c r="M20" s="101">
        <f t="shared" si="3"/>
        <v>1153893.4179500001</v>
      </c>
      <c r="N20" s="101">
        <f t="shared" si="9"/>
        <v>447479.86748101003</v>
      </c>
      <c r="O20" s="96">
        <v>0</v>
      </c>
      <c r="P20" s="101">
        <f t="shared" si="4"/>
        <v>1601373.2854310102</v>
      </c>
      <c r="Q20" s="101">
        <v>0</v>
      </c>
      <c r="R20" s="101">
        <f t="shared" si="5"/>
        <v>1601373.2854310102</v>
      </c>
      <c r="S20" s="82">
        <v>660785</v>
      </c>
      <c r="T20" s="82">
        <v>103073.39000000001</v>
      </c>
    </row>
    <row r="21" spans="1:20" ht="13.5" customHeight="1" x14ac:dyDescent="0.2">
      <c r="A21" s="97" t="s">
        <v>277</v>
      </c>
      <c r="B21" s="98">
        <v>6005</v>
      </c>
      <c r="C21" s="94">
        <v>313</v>
      </c>
      <c r="D21" s="94">
        <v>0</v>
      </c>
      <c r="E21" s="94">
        <f t="shared" si="6"/>
        <v>313</v>
      </c>
      <c r="F21" s="95">
        <v>0.75</v>
      </c>
      <c r="G21" s="95">
        <f t="shared" si="7"/>
        <v>3</v>
      </c>
      <c r="H21" s="100">
        <f t="shared" si="10"/>
        <v>12.8475</v>
      </c>
      <c r="I21" s="100">
        <f t="shared" si="8"/>
        <v>24.362716481805798</v>
      </c>
      <c r="J21" s="100">
        <f t="shared" si="0"/>
        <v>5.837711617046118E-2</v>
      </c>
      <c r="K21" s="100">
        <f t="shared" si="1"/>
        <v>24.42109359797626</v>
      </c>
      <c r="L21" s="101">
        <f t="shared" si="2"/>
        <v>80038.849800000011</v>
      </c>
      <c r="M21" s="101">
        <f t="shared" si="3"/>
        <v>1954636.2424401636</v>
      </c>
      <c r="N21" s="101">
        <f t="shared" si="9"/>
        <v>758007.93481829541</v>
      </c>
      <c r="O21" s="96">
        <v>0</v>
      </c>
      <c r="P21" s="101">
        <f t="shared" si="4"/>
        <v>2712644.1772584589</v>
      </c>
      <c r="Q21" s="101">
        <v>0</v>
      </c>
      <c r="R21" s="101">
        <f t="shared" si="5"/>
        <v>2712644.1772584589</v>
      </c>
      <c r="S21" s="82">
        <v>574397</v>
      </c>
      <c r="T21" s="82">
        <v>80692.92</v>
      </c>
    </row>
    <row r="22" spans="1:20" ht="13.5" customHeight="1" x14ac:dyDescent="0.2">
      <c r="A22" s="97" t="s">
        <v>201</v>
      </c>
      <c r="B22" s="98">
        <v>6006</v>
      </c>
      <c r="C22" s="94">
        <v>570</v>
      </c>
      <c r="D22" s="94">
        <v>0.1</v>
      </c>
      <c r="E22" s="94">
        <f t="shared" si="6"/>
        <v>570.1</v>
      </c>
      <c r="F22" s="95">
        <v>2.5</v>
      </c>
      <c r="G22" s="95">
        <f t="shared" si="7"/>
        <v>10</v>
      </c>
      <c r="H22" s="100">
        <f t="shared" si="10"/>
        <v>14.77575</v>
      </c>
      <c r="I22" s="100">
        <f t="shared" si="8"/>
        <v>38.583489839771246</v>
      </c>
      <c r="J22" s="100">
        <f t="shared" si="0"/>
        <v>0.16919614909564659</v>
      </c>
      <c r="K22" s="100">
        <f t="shared" si="1"/>
        <v>38.752685988866894</v>
      </c>
      <c r="L22" s="101">
        <f t="shared" si="2"/>
        <v>80038.849800000011</v>
      </c>
      <c r="M22" s="101">
        <f t="shared" si="3"/>
        <v>3101720.4132094821</v>
      </c>
      <c r="N22" s="101">
        <f t="shared" si="9"/>
        <v>1202847.176242637</v>
      </c>
      <c r="O22" s="96">
        <v>0</v>
      </c>
      <c r="P22" s="101">
        <f t="shared" si="4"/>
        <v>4304567.5894521195</v>
      </c>
      <c r="Q22" s="101">
        <v>0</v>
      </c>
      <c r="R22" s="101">
        <f t="shared" si="5"/>
        <v>4304567.5894521195</v>
      </c>
      <c r="S22" s="82">
        <v>2830463</v>
      </c>
      <c r="T22" s="82">
        <v>1018753.6699999999</v>
      </c>
    </row>
    <row r="23" spans="1:20" ht="13.5" customHeight="1" x14ac:dyDescent="0.2">
      <c r="A23" s="97" t="s">
        <v>167</v>
      </c>
      <c r="B23" s="98">
        <v>7001</v>
      </c>
      <c r="C23" s="94">
        <v>858.33</v>
      </c>
      <c r="D23" s="94">
        <v>0</v>
      </c>
      <c r="E23" s="94">
        <f t="shared" si="6"/>
        <v>858.33</v>
      </c>
      <c r="F23" s="95">
        <v>0.75</v>
      </c>
      <c r="G23" s="95">
        <f t="shared" si="7"/>
        <v>3</v>
      </c>
      <c r="H23" s="100">
        <f t="shared" si="10"/>
        <v>15</v>
      </c>
      <c r="I23" s="100">
        <f t="shared" si="8"/>
        <v>57.222000000000001</v>
      </c>
      <c r="J23" s="100">
        <f t="shared" si="0"/>
        <v>0.05</v>
      </c>
      <c r="K23" s="100">
        <f t="shared" si="1"/>
        <v>57.271999999999998</v>
      </c>
      <c r="L23" s="101">
        <f t="shared" si="2"/>
        <v>80038.849800000011</v>
      </c>
      <c r="M23" s="101">
        <f t="shared" si="3"/>
        <v>4583985.0057456009</v>
      </c>
      <c r="N23" s="101">
        <f t="shared" si="9"/>
        <v>1777669.385228144</v>
      </c>
      <c r="O23" s="96">
        <v>0</v>
      </c>
      <c r="P23" s="101">
        <f t="shared" si="4"/>
        <v>6361654.3909737449</v>
      </c>
      <c r="Q23" s="101">
        <v>0</v>
      </c>
      <c r="R23" s="101">
        <f t="shared" si="5"/>
        <v>6361654.3909737449</v>
      </c>
      <c r="S23" s="82">
        <v>2000026</v>
      </c>
      <c r="T23" s="82">
        <v>440370.02</v>
      </c>
    </row>
    <row r="24" spans="1:20" ht="13.5" customHeight="1" x14ac:dyDescent="0.2">
      <c r="A24" s="97" t="s">
        <v>221</v>
      </c>
      <c r="B24" s="98">
        <v>7002</v>
      </c>
      <c r="C24" s="94">
        <v>340.12</v>
      </c>
      <c r="D24" s="94">
        <v>0</v>
      </c>
      <c r="E24" s="94">
        <f t="shared" si="6"/>
        <v>340.12</v>
      </c>
      <c r="F24" s="95">
        <v>3.75</v>
      </c>
      <c r="G24" s="95">
        <f t="shared" si="7"/>
        <v>15</v>
      </c>
      <c r="H24" s="100">
        <f t="shared" si="10"/>
        <v>13.0509</v>
      </c>
      <c r="I24" s="100">
        <f t="shared" si="8"/>
        <v>26.061037936081036</v>
      </c>
      <c r="J24" s="100">
        <f t="shared" si="0"/>
        <v>0.28733650552835438</v>
      </c>
      <c r="K24" s="100">
        <f t="shared" si="1"/>
        <v>26.348374441609391</v>
      </c>
      <c r="L24" s="101">
        <f t="shared" si="2"/>
        <v>80038.849800000011</v>
      </c>
      <c r="M24" s="101">
        <f t="shared" si="3"/>
        <v>2108893.5844061333</v>
      </c>
      <c r="N24" s="101">
        <f t="shared" si="9"/>
        <v>817828.93203269842</v>
      </c>
      <c r="O24" s="96">
        <v>0</v>
      </c>
      <c r="P24" s="101">
        <f t="shared" si="4"/>
        <v>2926722.5164388316</v>
      </c>
      <c r="Q24" s="101">
        <v>0</v>
      </c>
      <c r="R24" s="101">
        <f t="shared" si="5"/>
        <v>2926722.5164388316</v>
      </c>
      <c r="S24" s="82">
        <v>937106</v>
      </c>
      <c r="T24" s="82">
        <v>209298.02</v>
      </c>
    </row>
    <row r="25" spans="1:20" ht="13.5" customHeight="1" x14ac:dyDescent="0.2">
      <c r="A25" s="97" t="s">
        <v>151</v>
      </c>
      <c r="B25" s="98">
        <v>9001</v>
      </c>
      <c r="C25" s="94">
        <v>1242.79</v>
      </c>
      <c r="D25" s="94">
        <v>0.1</v>
      </c>
      <c r="E25" s="94">
        <f t="shared" si="6"/>
        <v>1242.8899999999999</v>
      </c>
      <c r="F25" s="95">
        <v>2.25</v>
      </c>
      <c r="G25" s="95">
        <f t="shared" si="7"/>
        <v>9</v>
      </c>
      <c r="H25" s="100">
        <f t="shared" si="10"/>
        <v>15</v>
      </c>
      <c r="I25" s="100">
        <f t="shared" si="8"/>
        <v>82.859333333333325</v>
      </c>
      <c r="J25" s="100">
        <f t="shared" si="0"/>
        <v>0.15</v>
      </c>
      <c r="K25" s="100">
        <f t="shared" si="1"/>
        <v>83.009333333333331</v>
      </c>
      <c r="L25" s="101">
        <f t="shared" si="2"/>
        <v>80038.849800000011</v>
      </c>
      <c r="M25" s="101">
        <f t="shared" si="3"/>
        <v>6643971.5626648003</v>
      </c>
      <c r="N25" s="101">
        <f t="shared" si="9"/>
        <v>2576532.1720014093</v>
      </c>
      <c r="O25" s="96">
        <v>0</v>
      </c>
      <c r="P25" s="101">
        <f t="shared" si="4"/>
        <v>9220503.7346662097</v>
      </c>
      <c r="Q25" s="101">
        <v>0</v>
      </c>
      <c r="R25" s="101">
        <f t="shared" si="5"/>
        <v>9220503.7346662097</v>
      </c>
      <c r="S25" s="82">
        <v>3280577</v>
      </c>
      <c r="T25" s="82">
        <v>259122.12</v>
      </c>
    </row>
    <row r="26" spans="1:20" ht="13.5" customHeight="1" x14ac:dyDescent="0.2">
      <c r="A26" s="97" t="s">
        <v>243</v>
      </c>
      <c r="B26" s="98">
        <v>9002</v>
      </c>
      <c r="C26" s="94">
        <v>215</v>
      </c>
      <c r="D26" s="94">
        <v>0.8</v>
      </c>
      <c r="E26" s="94">
        <f t="shared" si="6"/>
        <v>215.8</v>
      </c>
      <c r="F26" s="95">
        <v>0</v>
      </c>
      <c r="G26" s="95">
        <f t="shared" si="7"/>
        <v>0</v>
      </c>
      <c r="H26" s="100">
        <f t="shared" si="10"/>
        <v>12.118500000000001</v>
      </c>
      <c r="I26" s="100">
        <f t="shared" si="8"/>
        <v>17.807484424640013</v>
      </c>
      <c r="J26" s="100">
        <f t="shared" si="0"/>
        <v>0</v>
      </c>
      <c r="K26" s="100">
        <f t="shared" si="1"/>
        <v>17.807484424640013</v>
      </c>
      <c r="L26" s="101">
        <f t="shared" si="2"/>
        <v>80038.849800000011</v>
      </c>
      <c r="M26" s="101">
        <f t="shared" si="3"/>
        <v>1425290.5711796016</v>
      </c>
      <c r="N26" s="101">
        <f t="shared" si="9"/>
        <v>552727.68350344943</v>
      </c>
      <c r="O26" s="96">
        <v>0</v>
      </c>
      <c r="P26" s="101">
        <f t="shared" si="4"/>
        <v>1978018.254683051</v>
      </c>
      <c r="Q26" s="101">
        <v>0</v>
      </c>
      <c r="R26" s="101">
        <f t="shared" si="5"/>
        <v>1978018.254683051</v>
      </c>
      <c r="S26" s="82">
        <v>892735</v>
      </c>
      <c r="T26" s="82">
        <v>162795.65</v>
      </c>
    </row>
    <row r="27" spans="1:20" ht="13.5" customHeight="1" x14ac:dyDescent="0.2">
      <c r="A27" s="97" t="s">
        <v>208</v>
      </c>
      <c r="B27" s="98">
        <v>10001</v>
      </c>
      <c r="C27" s="94">
        <v>138</v>
      </c>
      <c r="D27" s="94">
        <v>0.2</v>
      </c>
      <c r="E27" s="94">
        <f t="shared" si="6"/>
        <v>138.19999999999999</v>
      </c>
      <c r="F27" s="95">
        <v>0.25</v>
      </c>
      <c r="G27" s="95">
        <f t="shared" si="7"/>
        <v>1</v>
      </c>
      <c r="H27" s="100">
        <f t="shared" si="10"/>
        <v>12</v>
      </c>
      <c r="I27" s="100">
        <f t="shared" si="8"/>
        <v>11.516666666666666</v>
      </c>
      <c r="J27" s="100">
        <f t="shared" si="0"/>
        <v>2.0833333333333332E-2</v>
      </c>
      <c r="K27" s="100">
        <f t="shared" si="1"/>
        <v>11.5375</v>
      </c>
      <c r="L27" s="101">
        <f t="shared" si="2"/>
        <v>80038.849800000011</v>
      </c>
      <c r="M27" s="101">
        <f t="shared" si="3"/>
        <v>923448.22956750006</v>
      </c>
      <c r="N27" s="101">
        <f t="shared" si="9"/>
        <v>358113.22342627653</v>
      </c>
      <c r="O27" s="96">
        <v>0</v>
      </c>
      <c r="P27" s="101">
        <f t="shared" si="4"/>
        <v>1281561.4529937766</v>
      </c>
      <c r="Q27" s="101">
        <v>0</v>
      </c>
      <c r="R27" s="101">
        <f t="shared" si="5"/>
        <v>1281561.4529937766</v>
      </c>
      <c r="S27" s="82">
        <v>618432</v>
      </c>
      <c r="T27" s="82">
        <v>51266.16</v>
      </c>
    </row>
    <row r="28" spans="1:20" ht="13.5" customHeight="1" x14ac:dyDescent="0.2">
      <c r="A28" s="97" t="s">
        <v>146</v>
      </c>
      <c r="B28" s="98">
        <v>11001</v>
      </c>
      <c r="C28" s="94">
        <v>289</v>
      </c>
      <c r="D28" s="94">
        <v>0</v>
      </c>
      <c r="E28" s="94">
        <f t="shared" si="6"/>
        <v>289</v>
      </c>
      <c r="F28" s="95">
        <v>1</v>
      </c>
      <c r="G28" s="95">
        <f t="shared" si="7"/>
        <v>4</v>
      </c>
      <c r="H28" s="100">
        <f t="shared" si="10"/>
        <v>12.6675</v>
      </c>
      <c r="I28" s="100">
        <f t="shared" si="8"/>
        <v>22.814288533649101</v>
      </c>
      <c r="J28" s="100">
        <f t="shared" si="0"/>
        <v>7.8942174856917305E-2</v>
      </c>
      <c r="K28" s="100">
        <f t="shared" si="1"/>
        <v>22.893230708506017</v>
      </c>
      <c r="L28" s="101">
        <f t="shared" si="2"/>
        <v>80038.849800000011</v>
      </c>
      <c r="M28" s="101">
        <f t="shared" si="3"/>
        <v>1832347.854114861</v>
      </c>
      <c r="N28" s="101">
        <f t="shared" si="9"/>
        <v>710584.49782574305</v>
      </c>
      <c r="O28" s="96">
        <v>0</v>
      </c>
      <c r="P28" s="101">
        <f t="shared" si="4"/>
        <v>2542932.3519406039</v>
      </c>
      <c r="Q28" s="101">
        <v>0</v>
      </c>
      <c r="R28" s="101">
        <f t="shared" si="5"/>
        <v>2542932.3519406039</v>
      </c>
      <c r="S28" s="82">
        <v>918909</v>
      </c>
      <c r="T28" s="82">
        <v>162462.77000000002</v>
      </c>
    </row>
    <row r="29" spans="1:20" ht="13.5" customHeight="1" x14ac:dyDescent="0.2">
      <c r="A29" s="97" t="s">
        <v>293</v>
      </c>
      <c r="B29" s="98">
        <v>11004</v>
      </c>
      <c r="C29" s="94">
        <v>820</v>
      </c>
      <c r="D29" s="94">
        <v>0</v>
      </c>
      <c r="E29" s="94">
        <f t="shared" si="6"/>
        <v>820</v>
      </c>
      <c r="F29" s="95">
        <v>0</v>
      </c>
      <c r="G29" s="95">
        <f t="shared" si="7"/>
        <v>0</v>
      </c>
      <c r="H29" s="100">
        <f t="shared" si="10"/>
        <v>15</v>
      </c>
      <c r="I29" s="100">
        <f t="shared" si="8"/>
        <v>54.666666666666664</v>
      </c>
      <c r="J29" s="100">
        <f t="shared" si="0"/>
        <v>0</v>
      </c>
      <c r="K29" s="100">
        <f t="shared" si="1"/>
        <v>54.666666666666664</v>
      </c>
      <c r="L29" s="101">
        <f t="shared" si="2"/>
        <v>80038.849800000011</v>
      </c>
      <c r="M29" s="101">
        <f t="shared" si="3"/>
        <v>4375457.1224000007</v>
      </c>
      <c r="N29" s="101">
        <f t="shared" si="9"/>
        <v>1696802.2720667201</v>
      </c>
      <c r="O29" s="96">
        <v>0</v>
      </c>
      <c r="P29" s="101">
        <f t="shared" si="4"/>
        <v>6072259.3944667205</v>
      </c>
      <c r="Q29" s="101">
        <v>0</v>
      </c>
      <c r="R29" s="101">
        <f t="shared" si="5"/>
        <v>6072259.3944667205</v>
      </c>
      <c r="S29" s="82">
        <v>917742</v>
      </c>
      <c r="T29" s="82">
        <v>235928.65</v>
      </c>
    </row>
    <row r="30" spans="1:20" ht="13.5" customHeight="1" x14ac:dyDescent="0.2">
      <c r="A30" s="97" t="s">
        <v>252</v>
      </c>
      <c r="B30" s="98">
        <v>11005</v>
      </c>
      <c r="C30" s="94">
        <v>524.45000000000005</v>
      </c>
      <c r="D30" s="94">
        <v>0</v>
      </c>
      <c r="E30" s="94">
        <f t="shared" si="6"/>
        <v>524.45000000000005</v>
      </c>
      <c r="F30" s="95">
        <v>4.5</v>
      </c>
      <c r="G30" s="95">
        <f t="shared" si="7"/>
        <v>18</v>
      </c>
      <c r="H30" s="100">
        <f t="shared" si="10"/>
        <v>14.433375</v>
      </c>
      <c r="I30" s="100">
        <f t="shared" si="8"/>
        <v>36.33592281777478</v>
      </c>
      <c r="J30" s="100">
        <f t="shared" si="0"/>
        <v>0.31177739094286677</v>
      </c>
      <c r="K30" s="100">
        <f t="shared" si="1"/>
        <v>36.647700208717644</v>
      </c>
      <c r="L30" s="101">
        <f t="shared" si="2"/>
        <v>80038.849800000011</v>
      </c>
      <c r="M30" s="101">
        <f t="shared" si="3"/>
        <v>2933239.7725209808</v>
      </c>
      <c r="N30" s="101">
        <f t="shared" si="9"/>
        <v>1137510.3837836364</v>
      </c>
      <c r="O30" s="96">
        <v>0</v>
      </c>
      <c r="P30" s="101">
        <f t="shared" si="4"/>
        <v>4070750.1563046174</v>
      </c>
      <c r="Q30" s="101">
        <v>0</v>
      </c>
      <c r="R30" s="101">
        <f t="shared" si="5"/>
        <v>4070750.1563046174</v>
      </c>
      <c r="S30" s="82">
        <v>1869510</v>
      </c>
      <c r="T30" s="82">
        <v>348805.93</v>
      </c>
    </row>
    <row r="31" spans="1:20" ht="13.5" customHeight="1" x14ac:dyDescent="0.2">
      <c r="A31" s="97" t="s">
        <v>169</v>
      </c>
      <c r="B31" s="98">
        <v>12002</v>
      </c>
      <c r="C31" s="94">
        <v>470</v>
      </c>
      <c r="D31" s="94">
        <v>0</v>
      </c>
      <c r="E31" s="94">
        <f t="shared" si="6"/>
        <v>470</v>
      </c>
      <c r="F31" s="95">
        <v>17.75</v>
      </c>
      <c r="G31" s="95">
        <f t="shared" si="7"/>
        <v>71</v>
      </c>
      <c r="H31" s="100">
        <f t="shared" si="10"/>
        <v>14.025</v>
      </c>
      <c r="I31" s="100">
        <f t="shared" si="8"/>
        <v>33.51158645276292</v>
      </c>
      <c r="J31" s="100">
        <f t="shared" si="0"/>
        <v>1.2655971479500892</v>
      </c>
      <c r="K31" s="100">
        <f t="shared" si="1"/>
        <v>34.777183600713009</v>
      </c>
      <c r="L31" s="101">
        <f t="shared" si="2"/>
        <v>80038.849800000011</v>
      </c>
      <c r="M31" s="101">
        <f t="shared" si="3"/>
        <v>2783525.774684492</v>
      </c>
      <c r="N31" s="101">
        <f t="shared" si="9"/>
        <v>1079451.295422646</v>
      </c>
      <c r="O31" s="96">
        <v>0</v>
      </c>
      <c r="P31" s="101">
        <f t="shared" si="4"/>
        <v>3862977.0701071378</v>
      </c>
      <c r="Q31" s="101">
        <v>0</v>
      </c>
      <c r="R31" s="101">
        <f t="shared" si="5"/>
        <v>3862977.0701071378</v>
      </c>
      <c r="S31" s="82">
        <v>2029619</v>
      </c>
      <c r="T31" s="82">
        <v>336831.4</v>
      </c>
    </row>
    <row r="32" spans="1:20" ht="13.5" customHeight="1" x14ac:dyDescent="0.2">
      <c r="A32" s="97" t="s">
        <v>286</v>
      </c>
      <c r="B32" s="98">
        <v>12003</v>
      </c>
      <c r="C32" s="94">
        <v>329</v>
      </c>
      <c r="D32" s="94">
        <v>0</v>
      </c>
      <c r="E32" s="94">
        <f t="shared" si="6"/>
        <v>329</v>
      </c>
      <c r="F32" s="95">
        <v>12.75</v>
      </c>
      <c r="G32" s="95">
        <f t="shared" si="7"/>
        <v>51</v>
      </c>
      <c r="H32" s="100">
        <f t="shared" si="10"/>
        <v>12.967499999999999</v>
      </c>
      <c r="I32" s="100">
        <f t="shared" si="8"/>
        <v>25.371120107962213</v>
      </c>
      <c r="J32" s="100">
        <f t="shared" si="0"/>
        <v>0.98322729901677275</v>
      </c>
      <c r="K32" s="100">
        <f t="shared" si="1"/>
        <v>26.354347406978984</v>
      </c>
      <c r="L32" s="101">
        <f t="shared" si="2"/>
        <v>80038.849800000011</v>
      </c>
      <c r="M32" s="101">
        <f t="shared" si="3"/>
        <v>2109371.6536842105</v>
      </c>
      <c r="N32" s="101">
        <f t="shared" si="9"/>
        <v>818014.32729873678</v>
      </c>
      <c r="O32" s="96">
        <v>0</v>
      </c>
      <c r="P32" s="101">
        <f t="shared" si="4"/>
        <v>2927385.9809829472</v>
      </c>
      <c r="Q32" s="101">
        <v>0</v>
      </c>
      <c r="R32" s="101">
        <f t="shared" si="5"/>
        <v>2927385.9809829472</v>
      </c>
      <c r="S32" s="82">
        <v>1035555</v>
      </c>
      <c r="T32" s="82">
        <v>420625.74</v>
      </c>
    </row>
    <row r="33" spans="1:20" ht="13.5" customHeight="1" x14ac:dyDescent="0.2">
      <c r="A33" s="97" t="s">
        <v>273</v>
      </c>
      <c r="B33" s="98">
        <v>13001</v>
      </c>
      <c r="C33" s="94">
        <v>1346.3</v>
      </c>
      <c r="D33" s="94">
        <v>0</v>
      </c>
      <c r="E33" s="94">
        <f t="shared" si="6"/>
        <v>1346.3</v>
      </c>
      <c r="F33" s="95">
        <v>2.5</v>
      </c>
      <c r="G33" s="95">
        <f t="shared" si="7"/>
        <v>10</v>
      </c>
      <c r="H33" s="100">
        <f t="shared" si="10"/>
        <v>15</v>
      </c>
      <c r="I33" s="100">
        <f t="shared" si="8"/>
        <v>89.75333333333333</v>
      </c>
      <c r="J33" s="100">
        <f t="shared" si="0"/>
        <v>0.16666666666666666</v>
      </c>
      <c r="K33" s="100">
        <f t="shared" si="1"/>
        <v>89.92</v>
      </c>
      <c r="L33" s="101">
        <f t="shared" si="2"/>
        <v>80038.849800000011</v>
      </c>
      <c r="M33" s="101">
        <f t="shared" si="3"/>
        <v>7197093.3740160009</v>
      </c>
      <c r="N33" s="101">
        <f t="shared" si="9"/>
        <v>2791032.8104434051</v>
      </c>
      <c r="O33" s="96">
        <v>0</v>
      </c>
      <c r="P33" s="101">
        <f t="shared" si="4"/>
        <v>9988126.1844594069</v>
      </c>
      <c r="Q33" s="101">
        <v>0</v>
      </c>
      <c r="R33" s="101">
        <f t="shared" si="5"/>
        <v>9988126.1844594069</v>
      </c>
      <c r="S33" s="82">
        <v>3420040</v>
      </c>
      <c r="T33" s="82">
        <v>422975.65</v>
      </c>
    </row>
    <row r="34" spans="1:20" ht="13.5" customHeight="1" x14ac:dyDescent="0.2">
      <c r="A34" s="97" t="s">
        <v>217</v>
      </c>
      <c r="B34" s="98">
        <v>13003</v>
      </c>
      <c r="C34" s="94">
        <v>277.07</v>
      </c>
      <c r="D34" s="94">
        <v>0</v>
      </c>
      <c r="E34" s="94">
        <f t="shared" si="6"/>
        <v>277.07</v>
      </c>
      <c r="F34" s="95">
        <v>0.75</v>
      </c>
      <c r="G34" s="95">
        <f t="shared" si="7"/>
        <v>3</v>
      </c>
      <c r="H34" s="100">
        <f t="shared" si="10"/>
        <v>12.578025</v>
      </c>
      <c r="I34" s="100">
        <f t="shared" si="8"/>
        <v>22.028100596079273</v>
      </c>
      <c r="J34" s="100">
        <f t="shared" si="0"/>
        <v>5.9627803252100389E-2</v>
      </c>
      <c r="K34" s="100">
        <f t="shared" si="1"/>
        <v>22.087728399331375</v>
      </c>
      <c r="L34" s="101">
        <f t="shared" si="2"/>
        <v>80038.849800000011</v>
      </c>
      <c r="M34" s="101">
        <f t="shared" si="3"/>
        <v>1767876.3757772786</v>
      </c>
      <c r="N34" s="101">
        <f t="shared" si="9"/>
        <v>685582.45852642856</v>
      </c>
      <c r="O34" s="96">
        <v>0</v>
      </c>
      <c r="P34" s="101">
        <f t="shared" si="4"/>
        <v>2453458.8343037069</v>
      </c>
      <c r="Q34" s="101">
        <v>0</v>
      </c>
      <c r="R34" s="101">
        <f t="shared" si="5"/>
        <v>2453458.8343037069</v>
      </c>
      <c r="S34" s="82">
        <v>971059</v>
      </c>
      <c r="T34" s="82">
        <v>166625.12</v>
      </c>
    </row>
    <row r="35" spans="1:20" ht="13.5" customHeight="1" x14ac:dyDescent="0.2">
      <c r="A35" s="97" t="s">
        <v>194</v>
      </c>
      <c r="B35" s="98">
        <v>14001</v>
      </c>
      <c r="C35" s="94">
        <v>324.45999999999998</v>
      </c>
      <c r="D35" s="94">
        <v>0</v>
      </c>
      <c r="E35" s="94">
        <f t="shared" si="6"/>
        <v>324.45999999999998</v>
      </c>
      <c r="F35" s="95">
        <v>0</v>
      </c>
      <c r="G35" s="95">
        <f t="shared" si="7"/>
        <v>0</v>
      </c>
      <c r="H35" s="100">
        <f t="shared" si="10"/>
        <v>12.933450000000001</v>
      </c>
      <c r="I35" s="100">
        <f t="shared" si="8"/>
        <v>25.086887102822523</v>
      </c>
      <c r="J35" s="100">
        <f t="shared" si="0"/>
        <v>0</v>
      </c>
      <c r="K35" s="100">
        <f t="shared" si="1"/>
        <v>25.086887102822523</v>
      </c>
      <c r="L35" s="101">
        <f t="shared" si="2"/>
        <v>80038.849800000011</v>
      </c>
      <c r="M35" s="101">
        <f t="shared" si="3"/>
        <v>2007925.5887723693</v>
      </c>
      <c r="N35" s="101">
        <f t="shared" si="9"/>
        <v>778673.54332592478</v>
      </c>
      <c r="O35" s="96">
        <v>0</v>
      </c>
      <c r="P35" s="101">
        <f t="shared" si="4"/>
        <v>2786599.1320982939</v>
      </c>
      <c r="Q35" s="101">
        <v>0</v>
      </c>
      <c r="R35" s="101">
        <f t="shared" si="5"/>
        <v>2786599.1320982939</v>
      </c>
      <c r="S35" s="82">
        <v>327121</v>
      </c>
      <c r="T35" s="82">
        <v>78162.62</v>
      </c>
    </row>
    <row r="36" spans="1:20" ht="13.5" customHeight="1" x14ac:dyDescent="0.2">
      <c r="A36" s="97" t="s">
        <v>207</v>
      </c>
      <c r="B36" s="98">
        <v>14002</v>
      </c>
      <c r="C36" s="94">
        <v>180</v>
      </c>
      <c r="D36" s="94">
        <v>0</v>
      </c>
      <c r="E36" s="94">
        <f t="shared" si="6"/>
        <v>180</v>
      </c>
      <c r="F36" s="95">
        <v>0</v>
      </c>
      <c r="G36" s="95">
        <f t="shared" si="7"/>
        <v>0</v>
      </c>
      <c r="H36" s="100">
        <f t="shared" si="10"/>
        <v>12</v>
      </c>
      <c r="I36" s="100">
        <f t="shared" si="8"/>
        <v>15</v>
      </c>
      <c r="J36" s="100">
        <f t="shared" si="0"/>
        <v>0</v>
      </c>
      <c r="K36" s="100">
        <f t="shared" si="1"/>
        <v>15</v>
      </c>
      <c r="L36" s="101">
        <f t="shared" si="2"/>
        <v>80038.849800000011</v>
      </c>
      <c r="M36" s="101">
        <f t="shared" si="3"/>
        <v>1200582.7470000002</v>
      </c>
      <c r="N36" s="101">
        <f t="shared" si="9"/>
        <v>465585.98928660003</v>
      </c>
      <c r="O36" s="96">
        <v>0</v>
      </c>
      <c r="P36" s="101">
        <f t="shared" si="4"/>
        <v>1666168.7362866001</v>
      </c>
      <c r="Q36" s="101">
        <v>0</v>
      </c>
      <c r="R36" s="101">
        <f t="shared" si="5"/>
        <v>1666168.7362866001</v>
      </c>
      <c r="S36" s="82">
        <v>257194</v>
      </c>
      <c r="T36" s="82">
        <v>55072.819999999992</v>
      </c>
    </row>
    <row r="37" spans="1:20" ht="13.5" customHeight="1" x14ac:dyDescent="0.2">
      <c r="A37" s="97" t="s">
        <v>278</v>
      </c>
      <c r="B37" s="98">
        <v>14004</v>
      </c>
      <c r="C37" s="94">
        <v>3551.34</v>
      </c>
      <c r="D37" s="94">
        <v>0</v>
      </c>
      <c r="E37" s="94">
        <f t="shared" si="6"/>
        <v>3551.34</v>
      </c>
      <c r="F37" s="95">
        <v>27.5</v>
      </c>
      <c r="G37" s="95">
        <f t="shared" si="7"/>
        <v>110</v>
      </c>
      <c r="H37" s="100">
        <f t="shared" si="10"/>
        <v>15</v>
      </c>
      <c r="I37" s="100">
        <f t="shared" si="8"/>
        <v>236.756</v>
      </c>
      <c r="J37" s="100">
        <f t="shared" si="0"/>
        <v>1.8333333333333333</v>
      </c>
      <c r="K37" s="100">
        <f t="shared" si="1"/>
        <v>238.58933333333334</v>
      </c>
      <c r="L37" s="101">
        <f t="shared" si="2"/>
        <v>80038.849800000011</v>
      </c>
      <c r="M37" s="101">
        <f t="shared" si="3"/>
        <v>19096415.814548802</v>
      </c>
      <c r="N37" s="101">
        <f t="shared" si="9"/>
        <v>7405590.052882025</v>
      </c>
      <c r="O37" s="96">
        <v>0</v>
      </c>
      <c r="P37" s="101">
        <f t="shared" si="4"/>
        <v>26502005.867430829</v>
      </c>
      <c r="Q37" s="101">
        <v>0</v>
      </c>
      <c r="R37" s="101">
        <f t="shared" si="5"/>
        <v>26502005.867430829</v>
      </c>
      <c r="S37" s="82">
        <v>12131097</v>
      </c>
      <c r="T37" s="82">
        <v>1082869.81</v>
      </c>
    </row>
    <row r="38" spans="1:20" ht="13.5" customHeight="1" x14ac:dyDescent="0.2">
      <c r="A38" s="97" t="s">
        <v>280</v>
      </c>
      <c r="B38" s="98">
        <v>14005</v>
      </c>
      <c r="C38" s="94">
        <v>263</v>
      </c>
      <c r="D38" s="94">
        <v>0</v>
      </c>
      <c r="E38" s="94">
        <f t="shared" si="6"/>
        <v>263</v>
      </c>
      <c r="F38" s="95">
        <v>0.25</v>
      </c>
      <c r="G38" s="95">
        <f t="shared" si="7"/>
        <v>1</v>
      </c>
      <c r="H38" s="100">
        <f t="shared" si="10"/>
        <v>12.4725</v>
      </c>
      <c r="I38" s="100">
        <f t="shared" si="8"/>
        <v>21.086390058127883</v>
      </c>
      <c r="J38" s="100">
        <f t="shared" si="0"/>
        <v>2.0044097013429546E-2</v>
      </c>
      <c r="K38" s="100">
        <f t="shared" si="1"/>
        <v>21.106434155141311</v>
      </c>
      <c r="L38" s="101">
        <f t="shared" si="2"/>
        <v>80038.849800000011</v>
      </c>
      <c r="M38" s="101">
        <f t="shared" si="3"/>
        <v>1689334.7131569455</v>
      </c>
      <c r="N38" s="101">
        <f t="shared" si="9"/>
        <v>655124.00176226348</v>
      </c>
      <c r="O38" s="96">
        <v>0</v>
      </c>
      <c r="P38" s="101">
        <f t="shared" si="4"/>
        <v>2344458.714919209</v>
      </c>
      <c r="Q38" s="101">
        <v>0</v>
      </c>
      <c r="R38" s="101">
        <f t="shared" si="5"/>
        <v>2344458.714919209</v>
      </c>
      <c r="S38" s="82">
        <v>519301</v>
      </c>
      <c r="T38" s="82">
        <v>105796.09999999998</v>
      </c>
    </row>
    <row r="39" spans="1:20" ht="13.5" customHeight="1" x14ac:dyDescent="0.2">
      <c r="A39" s="97" t="s">
        <v>232</v>
      </c>
      <c r="B39" s="98">
        <v>15001</v>
      </c>
      <c r="C39" s="94">
        <v>122</v>
      </c>
      <c r="D39" s="94">
        <v>0</v>
      </c>
      <c r="E39" s="94">
        <f t="shared" si="6"/>
        <v>122</v>
      </c>
      <c r="F39" s="95">
        <v>0</v>
      </c>
      <c r="G39" s="95">
        <f t="shared" si="7"/>
        <v>0</v>
      </c>
      <c r="H39" s="100">
        <f t="shared" si="10"/>
        <v>12</v>
      </c>
      <c r="I39" s="100">
        <f t="shared" si="8"/>
        <v>10.166666666666666</v>
      </c>
      <c r="J39" s="100">
        <f t="shared" si="0"/>
        <v>0</v>
      </c>
      <c r="K39" s="100">
        <f t="shared" si="1"/>
        <v>10.166666666666666</v>
      </c>
      <c r="L39" s="101">
        <f t="shared" si="2"/>
        <v>80038.849800000011</v>
      </c>
      <c r="M39" s="101">
        <f t="shared" si="3"/>
        <v>813728.30630000005</v>
      </c>
      <c r="N39" s="101">
        <f t="shared" si="9"/>
        <v>315563.83718313999</v>
      </c>
      <c r="O39" s="96">
        <v>0</v>
      </c>
      <c r="P39" s="101">
        <f t="shared" si="4"/>
        <v>1129292.14348314</v>
      </c>
      <c r="Q39" s="101">
        <v>0</v>
      </c>
      <c r="R39" s="101">
        <f t="shared" si="5"/>
        <v>1129292.14348314</v>
      </c>
      <c r="S39" s="82">
        <v>362117</v>
      </c>
      <c r="T39" s="82">
        <v>37040.99</v>
      </c>
    </row>
    <row r="40" spans="1:20" ht="13.5" customHeight="1" x14ac:dyDescent="0.2">
      <c r="A40" s="97" t="s">
        <v>233</v>
      </c>
      <c r="B40" s="98">
        <v>15002</v>
      </c>
      <c r="C40" s="94">
        <v>429.4</v>
      </c>
      <c r="D40" s="94">
        <v>0</v>
      </c>
      <c r="E40" s="94">
        <f t="shared" si="6"/>
        <v>429.4</v>
      </c>
      <c r="F40" s="95">
        <v>0.25</v>
      </c>
      <c r="G40" s="95">
        <f t="shared" si="7"/>
        <v>1</v>
      </c>
      <c r="H40" s="100">
        <f t="shared" si="10"/>
        <v>13.720499999999999</v>
      </c>
      <c r="I40" s="100">
        <f t="shared" si="8"/>
        <v>31.296235559928572</v>
      </c>
      <c r="J40" s="100">
        <f t="shared" si="0"/>
        <v>1.8220910316679422E-2</v>
      </c>
      <c r="K40" s="100">
        <f t="shared" si="1"/>
        <v>31.314456470245251</v>
      </c>
      <c r="L40" s="101">
        <f t="shared" si="2"/>
        <v>80038.849800000011</v>
      </c>
      <c r="M40" s="101">
        <f t="shared" si="3"/>
        <v>2506373.077990598</v>
      </c>
      <c r="N40" s="101">
        <f t="shared" si="9"/>
        <v>971971.47964475385</v>
      </c>
      <c r="O40" s="96">
        <v>0</v>
      </c>
      <c r="P40" s="101">
        <f t="shared" si="4"/>
        <v>3478344.557635352</v>
      </c>
      <c r="Q40" s="101">
        <v>0</v>
      </c>
      <c r="R40" s="101">
        <f t="shared" si="5"/>
        <v>3478344.557635352</v>
      </c>
      <c r="S40" s="82">
        <v>444311</v>
      </c>
      <c r="T40" s="82">
        <v>108047.98</v>
      </c>
    </row>
    <row r="41" spans="1:20" ht="13.5" customHeight="1" x14ac:dyDescent="0.2">
      <c r="A41" s="97" t="s">
        <v>263</v>
      </c>
      <c r="B41" s="98">
        <v>15003</v>
      </c>
      <c r="C41" s="94">
        <v>175</v>
      </c>
      <c r="D41" s="94">
        <v>0</v>
      </c>
      <c r="E41" s="94">
        <f t="shared" si="6"/>
        <v>175</v>
      </c>
      <c r="F41" s="95">
        <v>0</v>
      </c>
      <c r="G41" s="95">
        <f t="shared" si="7"/>
        <v>0</v>
      </c>
      <c r="H41" s="100">
        <f t="shared" si="10"/>
        <v>12</v>
      </c>
      <c r="I41" s="100">
        <f t="shared" si="8"/>
        <v>14.583333333333334</v>
      </c>
      <c r="J41" s="100">
        <f t="shared" si="0"/>
        <v>0</v>
      </c>
      <c r="K41" s="100">
        <f t="shared" si="1"/>
        <v>14.583333333333334</v>
      </c>
      <c r="L41" s="101">
        <f t="shared" si="2"/>
        <v>80038.849800000011</v>
      </c>
      <c r="M41" s="101">
        <f t="shared" si="3"/>
        <v>1167233.2262500003</v>
      </c>
      <c r="N41" s="101">
        <f t="shared" si="9"/>
        <v>452653.04513975012</v>
      </c>
      <c r="O41" s="96">
        <v>0</v>
      </c>
      <c r="P41" s="101">
        <f t="shared" si="4"/>
        <v>1619886.2713897503</v>
      </c>
      <c r="Q41" s="101">
        <v>0</v>
      </c>
      <c r="R41" s="101">
        <f t="shared" si="5"/>
        <v>1619886.2713897503</v>
      </c>
      <c r="S41" s="82">
        <v>61106</v>
      </c>
      <c r="T41" s="82">
        <v>29053.15</v>
      </c>
    </row>
    <row r="42" spans="1:20" ht="13.5" customHeight="1" x14ac:dyDescent="0.2">
      <c r="A42" s="97" t="s">
        <v>173</v>
      </c>
      <c r="B42" s="98">
        <v>16001</v>
      </c>
      <c r="C42" s="94">
        <v>871.38</v>
      </c>
      <c r="D42" s="94">
        <v>0.1</v>
      </c>
      <c r="E42" s="94">
        <f t="shared" si="6"/>
        <v>871.48</v>
      </c>
      <c r="F42" s="95">
        <v>0.5</v>
      </c>
      <c r="G42" s="95">
        <f t="shared" si="7"/>
        <v>2</v>
      </c>
      <c r="H42" s="100">
        <f t="shared" si="10"/>
        <v>15</v>
      </c>
      <c r="I42" s="100">
        <f t="shared" si="8"/>
        <v>58.098666666666666</v>
      </c>
      <c r="J42" s="100">
        <f t="shared" si="0"/>
        <v>3.3333333333333333E-2</v>
      </c>
      <c r="K42" s="100">
        <f t="shared" si="1"/>
        <v>58.131999999999998</v>
      </c>
      <c r="L42" s="101">
        <f t="shared" si="2"/>
        <v>80038.849800000011</v>
      </c>
      <c r="M42" s="101">
        <f t="shared" si="3"/>
        <v>4652818.4165736008</v>
      </c>
      <c r="N42" s="101">
        <f t="shared" si="9"/>
        <v>1804362.9819472423</v>
      </c>
      <c r="O42" s="96">
        <v>0</v>
      </c>
      <c r="P42" s="101">
        <f t="shared" si="4"/>
        <v>6457181.3985208431</v>
      </c>
      <c r="Q42" s="101">
        <v>0</v>
      </c>
      <c r="R42" s="101">
        <f t="shared" si="5"/>
        <v>6457181.3985208431</v>
      </c>
      <c r="S42" s="82">
        <v>7714027</v>
      </c>
      <c r="T42" s="82">
        <v>429422.19</v>
      </c>
    </row>
    <row r="43" spans="1:20" ht="13.5" customHeight="1" x14ac:dyDescent="0.2">
      <c r="A43" s="97" t="s">
        <v>185</v>
      </c>
      <c r="B43" s="98">
        <v>16002</v>
      </c>
      <c r="C43" s="94">
        <v>12</v>
      </c>
      <c r="D43" s="94">
        <v>0</v>
      </c>
      <c r="E43" s="94">
        <f t="shared" si="6"/>
        <v>12</v>
      </c>
      <c r="F43" s="95">
        <v>0</v>
      </c>
      <c r="G43" s="95">
        <f t="shared" si="7"/>
        <v>0</v>
      </c>
      <c r="H43" s="100">
        <f t="shared" si="10"/>
        <v>12</v>
      </c>
      <c r="I43" s="100">
        <f t="shared" si="8"/>
        <v>1</v>
      </c>
      <c r="J43" s="100">
        <f t="shared" si="0"/>
        <v>0</v>
      </c>
      <c r="K43" s="100">
        <f t="shared" si="1"/>
        <v>1</v>
      </c>
      <c r="L43" s="101">
        <f t="shared" si="2"/>
        <v>80038.849800000011</v>
      </c>
      <c r="M43" s="101">
        <f t="shared" si="3"/>
        <v>80038.849800000011</v>
      </c>
      <c r="N43" s="101">
        <f t="shared" si="9"/>
        <v>31039.065952440003</v>
      </c>
      <c r="O43" s="96">
        <v>0</v>
      </c>
      <c r="P43" s="101">
        <f t="shared" si="4"/>
        <v>111077.91575244002</v>
      </c>
      <c r="Q43" s="101">
        <v>0</v>
      </c>
      <c r="R43" s="101">
        <f t="shared" si="5"/>
        <v>111077.91575244002</v>
      </c>
      <c r="S43" s="82">
        <v>355592</v>
      </c>
      <c r="T43" s="82">
        <v>5718.41</v>
      </c>
    </row>
    <row r="44" spans="1:20" ht="13.5" customHeight="1" x14ac:dyDescent="0.2">
      <c r="A44" s="97" t="s">
        <v>189</v>
      </c>
      <c r="B44" s="98">
        <v>17001</v>
      </c>
      <c r="C44" s="94">
        <v>270</v>
      </c>
      <c r="D44" s="94">
        <v>0</v>
      </c>
      <c r="E44" s="94">
        <f t="shared" si="6"/>
        <v>270</v>
      </c>
      <c r="F44" s="95">
        <v>0</v>
      </c>
      <c r="G44" s="95">
        <f t="shared" si="7"/>
        <v>0</v>
      </c>
      <c r="H44" s="100">
        <f t="shared" si="10"/>
        <v>12.525</v>
      </c>
      <c r="I44" s="100">
        <f t="shared" si="8"/>
        <v>21.556886227544908</v>
      </c>
      <c r="J44" s="100">
        <f t="shared" si="0"/>
        <v>0</v>
      </c>
      <c r="K44" s="100">
        <f t="shared" si="1"/>
        <v>21.556886227544908</v>
      </c>
      <c r="L44" s="101">
        <f t="shared" si="2"/>
        <v>80038.849800000011</v>
      </c>
      <c r="M44" s="101">
        <f t="shared" si="3"/>
        <v>1725388.3789221558</v>
      </c>
      <c r="N44" s="101">
        <f t="shared" si="9"/>
        <v>669105.61334601196</v>
      </c>
      <c r="O44" s="96">
        <v>0</v>
      </c>
      <c r="P44" s="101">
        <f t="shared" si="4"/>
        <v>2394493.9922681679</v>
      </c>
      <c r="Q44" s="101">
        <v>0</v>
      </c>
      <c r="R44" s="101">
        <f t="shared" si="5"/>
        <v>2394493.9922681679</v>
      </c>
      <c r="S44" s="82">
        <v>356993</v>
      </c>
      <c r="T44" s="82">
        <v>53724.4</v>
      </c>
    </row>
    <row r="45" spans="1:20" ht="13.5" customHeight="1" x14ac:dyDescent="0.2">
      <c r="A45" s="97" t="s">
        <v>238</v>
      </c>
      <c r="B45" s="98">
        <v>17002</v>
      </c>
      <c r="C45" s="94">
        <v>2636.43</v>
      </c>
      <c r="D45" s="94">
        <v>0</v>
      </c>
      <c r="E45" s="94">
        <f t="shared" si="6"/>
        <v>2636.43</v>
      </c>
      <c r="F45" s="95">
        <v>29.25</v>
      </c>
      <c r="G45" s="95">
        <f t="shared" si="7"/>
        <v>117</v>
      </c>
      <c r="H45" s="100">
        <f t="shared" si="10"/>
        <v>15</v>
      </c>
      <c r="I45" s="100">
        <f t="shared" si="8"/>
        <v>175.762</v>
      </c>
      <c r="J45" s="100">
        <f t="shared" si="0"/>
        <v>1.95</v>
      </c>
      <c r="K45" s="100">
        <f t="shared" si="1"/>
        <v>177.71199999999999</v>
      </c>
      <c r="L45" s="101">
        <f t="shared" si="2"/>
        <v>80038.849800000011</v>
      </c>
      <c r="M45" s="101">
        <f t="shared" si="3"/>
        <v>14223864.075657601</v>
      </c>
      <c r="N45" s="101">
        <f t="shared" si="9"/>
        <v>5516014.488540017</v>
      </c>
      <c r="O45" s="96">
        <v>0</v>
      </c>
      <c r="P45" s="101">
        <f t="shared" si="4"/>
        <v>19739878.564197619</v>
      </c>
      <c r="Q45" s="101">
        <v>0</v>
      </c>
      <c r="R45" s="101">
        <f t="shared" si="5"/>
        <v>19739878.564197619</v>
      </c>
      <c r="S45" s="82">
        <v>8011943</v>
      </c>
      <c r="T45" s="82">
        <v>744919.41999999993</v>
      </c>
    </row>
    <row r="46" spans="1:20" ht="13.5" customHeight="1" x14ac:dyDescent="0.2">
      <c r="A46" s="97" t="s">
        <v>241</v>
      </c>
      <c r="B46" s="98">
        <v>17003</v>
      </c>
      <c r="C46" s="94">
        <v>244</v>
      </c>
      <c r="D46" s="94">
        <v>0</v>
      </c>
      <c r="E46" s="94">
        <f t="shared" si="6"/>
        <v>244</v>
      </c>
      <c r="F46" s="95">
        <v>0.25</v>
      </c>
      <c r="G46" s="95">
        <f t="shared" si="7"/>
        <v>1</v>
      </c>
      <c r="H46" s="100">
        <f t="shared" si="10"/>
        <v>12.33</v>
      </c>
      <c r="I46" s="100">
        <f t="shared" si="8"/>
        <v>19.789132197891323</v>
      </c>
      <c r="J46" s="100">
        <f t="shared" si="0"/>
        <v>2.02757502027575E-2</v>
      </c>
      <c r="K46" s="100">
        <f t="shared" si="1"/>
        <v>19.80940794809408</v>
      </c>
      <c r="L46" s="101">
        <f t="shared" si="2"/>
        <v>80038.849800000011</v>
      </c>
      <c r="M46" s="101">
        <f t="shared" si="3"/>
        <v>1585522.2273844285</v>
      </c>
      <c r="N46" s="101">
        <f t="shared" si="9"/>
        <v>614865.51977968134</v>
      </c>
      <c r="O46" s="96">
        <v>0</v>
      </c>
      <c r="P46" s="101">
        <f t="shared" si="4"/>
        <v>2200387.7471641097</v>
      </c>
      <c r="Q46" s="101">
        <v>0</v>
      </c>
      <c r="R46" s="101">
        <f t="shared" si="5"/>
        <v>2200387.7471641097</v>
      </c>
      <c r="S46" s="82">
        <v>496775</v>
      </c>
      <c r="T46" s="82">
        <v>74869.119999999995</v>
      </c>
    </row>
    <row r="47" spans="1:20" ht="13.5" customHeight="1" x14ac:dyDescent="0.2">
      <c r="A47" s="97" t="s">
        <v>279</v>
      </c>
      <c r="B47" s="98">
        <v>18003</v>
      </c>
      <c r="C47" s="94">
        <v>168</v>
      </c>
      <c r="D47" s="94">
        <v>0</v>
      </c>
      <c r="E47" s="94">
        <f t="shared" si="6"/>
        <v>168</v>
      </c>
      <c r="F47" s="95">
        <v>0</v>
      </c>
      <c r="G47" s="95">
        <f t="shared" si="7"/>
        <v>0</v>
      </c>
      <c r="H47" s="100">
        <f t="shared" si="10"/>
        <v>12</v>
      </c>
      <c r="I47" s="100">
        <f t="shared" si="8"/>
        <v>14</v>
      </c>
      <c r="J47" s="100">
        <f t="shared" si="0"/>
        <v>0</v>
      </c>
      <c r="K47" s="100">
        <f t="shared" si="1"/>
        <v>14</v>
      </c>
      <c r="L47" s="101">
        <f t="shared" si="2"/>
        <v>80038.849800000011</v>
      </c>
      <c r="M47" s="101">
        <f t="shared" si="3"/>
        <v>1120543.8972000002</v>
      </c>
      <c r="N47" s="101">
        <f t="shared" si="9"/>
        <v>434546.92333416006</v>
      </c>
      <c r="O47" s="96">
        <v>0</v>
      </c>
      <c r="P47" s="101">
        <f t="shared" si="4"/>
        <v>1555090.8205341604</v>
      </c>
      <c r="Q47" s="101">
        <v>0</v>
      </c>
      <c r="R47" s="101">
        <f t="shared" si="5"/>
        <v>1555090.8205341604</v>
      </c>
      <c r="S47" s="82">
        <v>662566</v>
      </c>
      <c r="T47" s="82">
        <v>86954.140000000014</v>
      </c>
    </row>
    <row r="48" spans="1:20" ht="13.5" customHeight="1" x14ac:dyDescent="0.2">
      <c r="A48" s="97" t="s">
        <v>281</v>
      </c>
      <c r="B48" s="98">
        <v>18005</v>
      </c>
      <c r="C48" s="94">
        <v>540</v>
      </c>
      <c r="D48" s="94">
        <v>0</v>
      </c>
      <c r="E48" s="94">
        <f t="shared" si="6"/>
        <v>540</v>
      </c>
      <c r="F48" s="95">
        <v>0.25</v>
      </c>
      <c r="G48" s="95">
        <f t="shared" si="7"/>
        <v>1</v>
      </c>
      <c r="H48" s="100">
        <f t="shared" si="10"/>
        <v>14.55</v>
      </c>
      <c r="I48" s="100">
        <f t="shared" si="8"/>
        <v>37.113402061855666</v>
      </c>
      <c r="J48" s="100">
        <f t="shared" si="0"/>
        <v>1.7182130584192438E-2</v>
      </c>
      <c r="K48" s="100">
        <f t="shared" si="1"/>
        <v>37.130584192439862</v>
      </c>
      <c r="L48" s="101">
        <f t="shared" si="2"/>
        <v>80038.849800000011</v>
      </c>
      <c r="M48" s="101">
        <f t="shared" si="3"/>
        <v>2971889.251164949</v>
      </c>
      <c r="N48" s="101">
        <f t="shared" si="9"/>
        <v>1152498.6516017672</v>
      </c>
      <c r="O48" s="96">
        <v>0</v>
      </c>
      <c r="P48" s="101">
        <f t="shared" si="4"/>
        <v>4124387.9027667162</v>
      </c>
      <c r="Q48" s="101">
        <v>0</v>
      </c>
      <c r="R48" s="101">
        <f t="shared" si="5"/>
        <v>4124387.9027667162</v>
      </c>
      <c r="S48" s="82">
        <v>2377371</v>
      </c>
      <c r="T48" s="82">
        <v>298289.64</v>
      </c>
    </row>
    <row r="49" spans="1:20" ht="13.5" customHeight="1" x14ac:dyDescent="0.2">
      <c r="A49" s="97" t="s">
        <v>178</v>
      </c>
      <c r="B49" s="98">
        <v>19004</v>
      </c>
      <c r="C49" s="94">
        <v>523.38</v>
      </c>
      <c r="D49" s="94">
        <v>0.4</v>
      </c>
      <c r="E49" s="94">
        <f t="shared" si="6"/>
        <v>523.78</v>
      </c>
      <c r="F49" s="95">
        <v>0.25</v>
      </c>
      <c r="G49" s="95">
        <f t="shared" si="7"/>
        <v>1</v>
      </c>
      <c r="H49" s="100">
        <f t="shared" si="10"/>
        <v>14.42835</v>
      </c>
      <c r="I49" s="100">
        <f t="shared" si="8"/>
        <v>36.302141270484839</v>
      </c>
      <c r="J49" s="100">
        <f t="shared" si="0"/>
        <v>1.7326998582651517E-2</v>
      </c>
      <c r="K49" s="100">
        <f t="shared" si="1"/>
        <v>36.319468269067492</v>
      </c>
      <c r="L49" s="101">
        <f t="shared" si="2"/>
        <v>80038.849800000011</v>
      </c>
      <c r="M49" s="101">
        <f t="shared" si="3"/>
        <v>2906968.4656037595</v>
      </c>
      <c r="N49" s="101">
        <f t="shared" si="9"/>
        <v>1127322.3709611378</v>
      </c>
      <c r="O49" s="96">
        <v>0</v>
      </c>
      <c r="P49" s="101">
        <f t="shared" si="4"/>
        <v>4034290.8365648976</v>
      </c>
      <c r="Q49" s="101">
        <v>0</v>
      </c>
      <c r="R49" s="101">
        <f t="shared" si="5"/>
        <v>4034290.8365648976</v>
      </c>
      <c r="S49" s="82">
        <v>1972785</v>
      </c>
      <c r="T49" s="82">
        <v>346424.40999999992</v>
      </c>
    </row>
    <row r="50" spans="1:20" ht="13.5" customHeight="1" x14ac:dyDescent="0.2">
      <c r="A50" s="97" t="s">
        <v>182</v>
      </c>
      <c r="B50" s="98">
        <v>20001</v>
      </c>
      <c r="C50" s="94">
        <v>378</v>
      </c>
      <c r="D50" s="94">
        <v>0</v>
      </c>
      <c r="E50" s="94">
        <f t="shared" si="6"/>
        <v>378</v>
      </c>
      <c r="F50" s="95">
        <v>0</v>
      </c>
      <c r="G50" s="95">
        <f t="shared" si="7"/>
        <v>0</v>
      </c>
      <c r="H50" s="100">
        <f t="shared" si="10"/>
        <v>13.335000000000001</v>
      </c>
      <c r="I50" s="100">
        <f t="shared" si="8"/>
        <v>28.346456692913385</v>
      </c>
      <c r="J50" s="100">
        <f t="shared" si="0"/>
        <v>0</v>
      </c>
      <c r="K50" s="100">
        <f t="shared" si="1"/>
        <v>28.346456692913385</v>
      </c>
      <c r="L50" s="101">
        <f t="shared" si="2"/>
        <v>80038.849800000011</v>
      </c>
      <c r="M50" s="101">
        <f t="shared" si="3"/>
        <v>2268817.7896062993</v>
      </c>
      <c r="N50" s="101">
        <f t="shared" si="9"/>
        <v>879847.53880932275</v>
      </c>
      <c r="O50" s="96">
        <v>0</v>
      </c>
      <c r="P50" s="101">
        <f t="shared" si="4"/>
        <v>3148665.328415622</v>
      </c>
      <c r="Q50" s="101">
        <v>0</v>
      </c>
      <c r="R50" s="101">
        <f t="shared" si="5"/>
        <v>3148665.328415622</v>
      </c>
      <c r="S50" s="82">
        <v>447473</v>
      </c>
      <c r="T50" s="82">
        <v>123695.59000000001</v>
      </c>
    </row>
    <row r="51" spans="1:20" ht="13.5" customHeight="1" x14ac:dyDescent="0.2">
      <c r="A51" s="97" t="s">
        <v>269</v>
      </c>
      <c r="B51" s="98">
        <v>20003</v>
      </c>
      <c r="C51" s="94">
        <v>351</v>
      </c>
      <c r="D51" s="94">
        <v>0</v>
      </c>
      <c r="E51" s="94">
        <f t="shared" si="6"/>
        <v>351</v>
      </c>
      <c r="F51" s="95">
        <v>0.5</v>
      </c>
      <c r="G51" s="95">
        <f t="shared" si="7"/>
        <v>2</v>
      </c>
      <c r="H51" s="100">
        <f t="shared" si="10"/>
        <v>13.1325</v>
      </c>
      <c r="I51" s="100">
        <f t="shared" si="8"/>
        <v>26.727584237578526</v>
      </c>
      <c r="J51" s="100">
        <f t="shared" si="0"/>
        <v>3.8073481819912429E-2</v>
      </c>
      <c r="K51" s="100">
        <f t="shared" si="1"/>
        <v>26.765657719398437</v>
      </c>
      <c r="L51" s="101">
        <f t="shared" si="2"/>
        <v>80038.849800000011</v>
      </c>
      <c r="M51" s="101">
        <f t="shared" si="3"/>
        <v>2142292.4580011424</v>
      </c>
      <c r="N51" s="101">
        <f t="shared" si="9"/>
        <v>830781.01521284296</v>
      </c>
      <c r="O51" s="96">
        <v>0</v>
      </c>
      <c r="P51" s="101">
        <f t="shared" si="4"/>
        <v>2973073.4732139856</v>
      </c>
      <c r="Q51" s="101">
        <v>0</v>
      </c>
      <c r="R51" s="101">
        <f t="shared" si="5"/>
        <v>2973073.4732139856</v>
      </c>
      <c r="S51" s="82">
        <v>401493</v>
      </c>
      <c r="T51" s="82">
        <v>58658.340000000004</v>
      </c>
    </row>
    <row r="52" spans="1:20" ht="13.5" customHeight="1" x14ac:dyDescent="0.2">
      <c r="A52" s="97" t="s">
        <v>148</v>
      </c>
      <c r="B52" s="98">
        <v>21001</v>
      </c>
      <c r="C52" s="94">
        <v>202</v>
      </c>
      <c r="D52" s="94">
        <v>0</v>
      </c>
      <c r="E52" s="94">
        <f t="shared" si="6"/>
        <v>202</v>
      </c>
      <c r="F52" s="95">
        <v>1</v>
      </c>
      <c r="G52" s="95">
        <f t="shared" si="7"/>
        <v>4</v>
      </c>
      <c r="H52" s="100">
        <f t="shared" si="10"/>
        <v>12.015000000000001</v>
      </c>
      <c r="I52" s="100">
        <f t="shared" si="8"/>
        <v>16.812317935913441</v>
      </c>
      <c r="J52" s="100">
        <f t="shared" si="0"/>
        <v>8.322929671244278E-2</v>
      </c>
      <c r="K52" s="100">
        <f t="shared" si="1"/>
        <v>16.895547232625884</v>
      </c>
      <c r="L52" s="101">
        <f t="shared" si="2"/>
        <v>80038.849800000011</v>
      </c>
      <c r="M52" s="101">
        <f t="shared" si="3"/>
        <v>1352300.1672409489</v>
      </c>
      <c r="N52" s="101">
        <f t="shared" si="9"/>
        <v>524422.00485604</v>
      </c>
      <c r="O52" s="96">
        <v>0</v>
      </c>
      <c r="P52" s="101">
        <f t="shared" si="4"/>
        <v>1876722.1720969889</v>
      </c>
      <c r="Q52" s="101">
        <v>0</v>
      </c>
      <c r="R52" s="101">
        <f t="shared" si="5"/>
        <v>1876722.1720969889</v>
      </c>
      <c r="S52" s="82">
        <v>420280</v>
      </c>
      <c r="T52" s="82">
        <v>88874.53</v>
      </c>
    </row>
    <row r="53" spans="1:20" ht="13.5" customHeight="1" x14ac:dyDescent="0.2">
      <c r="A53" s="97" t="s">
        <v>172</v>
      </c>
      <c r="B53" s="98">
        <v>21003</v>
      </c>
      <c r="C53" s="94">
        <v>249</v>
      </c>
      <c r="D53" s="94">
        <v>0.1</v>
      </c>
      <c r="E53" s="94">
        <f t="shared" si="6"/>
        <v>249.1</v>
      </c>
      <c r="F53" s="95">
        <v>0.25</v>
      </c>
      <c r="G53" s="95">
        <f t="shared" si="7"/>
        <v>1</v>
      </c>
      <c r="H53" s="100">
        <f t="shared" si="10"/>
        <v>12.36825</v>
      </c>
      <c r="I53" s="100">
        <f t="shared" si="8"/>
        <v>20.140278535766985</v>
      </c>
      <c r="J53" s="100">
        <f t="shared" si="0"/>
        <v>2.0213045499565419E-2</v>
      </c>
      <c r="K53" s="100">
        <f t="shared" si="1"/>
        <v>20.160491581266552</v>
      </c>
      <c r="L53" s="101">
        <f t="shared" si="2"/>
        <v>80038.849800000011</v>
      </c>
      <c r="M53" s="101">
        <f t="shared" si="3"/>
        <v>1613622.5575671582</v>
      </c>
      <c r="N53" s="101">
        <f t="shared" si="9"/>
        <v>625762.82782454393</v>
      </c>
      <c r="O53" s="96">
        <v>0</v>
      </c>
      <c r="P53" s="101">
        <f t="shared" si="4"/>
        <v>2239385.3853917019</v>
      </c>
      <c r="Q53" s="101">
        <v>0</v>
      </c>
      <c r="R53" s="101">
        <f t="shared" si="5"/>
        <v>2239385.3853917019</v>
      </c>
      <c r="S53" s="82">
        <v>970212</v>
      </c>
      <c r="T53" s="82">
        <v>174259.68</v>
      </c>
    </row>
    <row r="54" spans="1:20" ht="13.5" customHeight="1" x14ac:dyDescent="0.2">
      <c r="A54" s="97" t="s">
        <v>157</v>
      </c>
      <c r="B54" s="98">
        <v>22001</v>
      </c>
      <c r="C54" s="94">
        <v>83.13</v>
      </c>
      <c r="D54" s="94">
        <v>0</v>
      </c>
      <c r="E54" s="94">
        <f t="shared" si="6"/>
        <v>83.13</v>
      </c>
      <c r="F54" s="95">
        <v>0.25</v>
      </c>
      <c r="G54" s="95">
        <f t="shared" si="7"/>
        <v>1</v>
      </c>
      <c r="H54" s="100">
        <f t="shared" si="10"/>
        <v>12</v>
      </c>
      <c r="I54" s="100">
        <f t="shared" si="8"/>
        <v>6.9274999999999993</v>
      </c>
      <c r="J54" s="100">
        <f t="shared" si="0"/>
        <v>2.0833333333333332E-2</v>
      </c>
      <c r="K54" s="100">
        <f t="shared" si="1"/>
        <v>6.9483333333333324</v>
      </c>
      <c r="L54" s="101">
        <f t="shared" si="2"/>
        <v>80038.849800000011</v>
      </c>
      <c r="M54" s="101">
        <f t="shared" si="3"/>
        <v>556136.60802699998</v>
      </c>
      <c r="N54" s="101">
        <f t="shared" si="9"/>
        <v>215669.77659287059</v>
      </c>
      <c r="O54" s="96">
        <v>0</v>
      </c>
      <c r="P54" s="101">
        <f t="shared" si="4"/>
        <v>771806.38461987057</v>
      </c>
      <c r="Q54" s="101">
        <v>0</v>
      </c>
      <c r="R54" s="101">
        <f t="shared" si="5"/>
        <v>771806.38461987057</v>
      </c>
      <c r="S54" s="82">
        <v>524602</v>
      </c>
      <c r="T54" s="82">
        <v>68051.22</v>
      </c>
    </row>
    <row r="55" spans="1:20" ht="13.5" customHeight="1" x14ac:dyDescent="0.2">
      <c r="A55" s="97" t="s">
        <v>184</v>
      </c>
      <c r="B55" s="98">
        <v>22005</v>
      </c>
      <c r="C55" s="94">
        <v>131</v>
      </c>
      <c r="D55" s="94">
        <v>0</v>
      </c>
      <c r="E55" s="94">
        <f t="shared" si="6"/>
        <v>131</v>
      </c>
      <c r="F55" s="95">
        <v>0.25</v>
      </c>
      <c r="G55" s="95">
        <f t="shared" si="7"/>
        <v>1</v>
      </c>
      <c r="H55" s="100">
        <f t="shared" si="10"/>
        <v>12</v>
      </c>
      <c r="I55" s="100">
        <f t="shared" si="8"/>
        <v>10.916666666666666</v>
      </c>
      <c r="J55" s="100">
        <f t="shared" si="0"/>
        <v>2.0833333333333332E-2</v>
      </c>
      <c r="K55" s="100">
        <f t="shared" si="1"/>
        <v>10.9375</v>
      </c>
      <c r="L55" s="101">
        <f t="shared" si="2"/>
        <v>80038.849800000011</v>
      </c>
      <c r="M55" s="101">
        <f t="shared" si="3"/>
        <v>875424.91968750011</v>
      </c>
      <c r="N55" s="101">
        <f t="shared" si="9"/>
        <v>339489.7838548125</v>
      </c>
      <c r="O55" s="96">
        <v>0</v>
      </c>
      <c r="P55" s="101">
        <f t="shared" si="4"/>
        <v>1214914.7035423126</v>
      </c>
      <c r="Q55" s="101">
        <v>0</v>
      </c>
      <c r="R55" s="101">
        <f t="shared" si="5"/>
        <v>1214914.7035423126</v>
      </c>
      <c r="S55" s="82">
        <v>1033910</v>
      </c>
      <c r="T55" s="82">
        <v>84441.7</v>
      </c>
    </row>
    <row r="56" spans="1:20" ht="13.5" customHeight="1" x14ac:dyDescent="0.2">
      <c r="A56" s="97" t="s">
        <v>216</v>
      </c>
      <c r="B56" s="98">
        <v>22006</v>
      </c>
      <c r="C56" s="94">
        <v>430.14</v>
      </c>
      <c r="D56" s="94">
        <v>0</v>
      </c>
      <c r="E56" s="94">
        <f t="shared" si="6"/>
        <v>430.14</v>
      </c>
      <c r="F56" s="95">
        <v>9.25</v>
      </c>
      <c r="G56" s="95">
        <f t="shared" si="7"/>
        <v>37</v>
      </c>
      <c r="H56" s="100">
        <f t="shared" si="10"/>
        <v>13.726050000000001</v>
      </c>
      <c r="I56" s="100">
        <f t="shared" si="8"/>
        <v>31.337493306522994</v>
      </c>
      <c r="J56" s="100">
        <f t="shared" si="0"/>
        <v>0.67390108589142539</v>
      </c>
      <c r="K56" s="100">
        <f t="shared" si="1"/>
        <v>32.011394392414417</v>
      </c>
      <c r="L56" s="101">
        <f t="shared" si="2"/>
        <v>80038.849800000011</v>
      </c>
      <c r="M56" s="101">
        <f t="shared" si="3"/>
        <v>2562155.1876630201</v>
      </c>
      <c r="N56" s="101">
        <f t="shared" si="9"/>
        <v>993603.78177571914</v>
      </c>
      <c r="O56" s="96">
        <v>0</v>
      </c>
      <c r="P56" s="101">
        <f t="shared" si="4"/>
        <v>3555758.9694387391</v>
      </c>
      <c r="Q56" s="101">
        <v>0</v>
      </c>
      <c r="R56" s="101">
        <f t="shared" si="5"/>
        <v>3555758.9694387391</v>
      </c>
      <c r="S56" s="82">
        <v>1980791</v>
      </c>
      <c r="T56" s="82">
        <v>434211.74</v>
      </c>
    </row>
    <row r="57" spans="1:20" ht="13.5" customHeight="1" x14ac:dyDescent="0.2">
      <c r="A57" s="97" t="s">
        <v>183</v>
      </c>
      <c r="B57" s="98">
        <v>23001</v>
      </c>
      <c r="C57" s="94">
        <v>112</v>
      </c>
      <c r="D57" s="94">
        <v>0</v>
      </c>
      <c r="E57" s="94">
        <f t="shared" si="6"/>
        <v>112</v>
      </c>
      <c r="F57" s="95">
        <v>0</v>
      </c>
      <c r="G57" s="95">
        <f t="shared" si="7"/>
        <v>0</v>
      </c>
      <c r="H57" s="100">
        <f t="shared" si="10"/>
        <v>12</v>
      </c>
      <c r="I57" s="100">
        <f t="shared" si="8"/>
        <v>9.3333333333333339</v>
      </c>
      <c r="J57" s="100">
        <f t="shared" si="0"/>
        <v>0</v>
      </c>
      <c r="K57" s="100">
        <f t="shared" si="1"/>
        <v>9.3333333333333339</v>
      </c>
      <c r="L57" s="101">
        <f t="shared" si="2"/>
        <v>80038.849800000011</v>
      </c>
      <c r="M57" s="101">
        <f t="shared" si="3"/>
        <v>747029.26480000012</v>
      </c>
      <c r="N57" s="101">
        <f t="shared" si="9"/>
        <v>289697.94888944004</v>
      </c>
      <c r="O57" s="96">
        <v>0</v>
      </c>
      <c r="P57" s="101">
        <f t="shared" si="4"/>
        <v>1036727.2136894402</v>
      </c>
      <c r="Q57" s="101">
        <v>0</v>
      </c>
      <c r="R57" s="101">
        <f t="shared" si="5"/>
        <v>1036727.2136894402</v>
      </c>
      <c r="S57" s="82">
        <v>967417</v>
      </c>
      <c r="T57" s="82">
        <v>64416.979999999996</v>
      </c>
    </row>
    <row r="58" spans="1:20" ht="13.5" customHeight="1" x14ac:dyDescent="0.2">
      <c r="A58" s="97" t="s">
        <v>212</v>
      </c>
      <c r="B58" s="98">
        <v>23002</v>
      </c>
      <c r="C58" s="94">
        <v>691.94</v>
      </c>
      <c r="D58" s="94">
        <v>0</v>
      </c>
      <c r="E58" s="94">
        <f t="shared" si="6"/>
        <v>691.94</v>
      </c>
      <c r="F58" s="95">
        <v>0.75</v>
      </c>
      <c r="G58" s="95">
        <f t="shared" si="7"/>
        <v>3</v>
      </c>
      <c r="H58" s="100">
        <f t="shared" si="10"/>
        <v>15</v>
      </c>
      <c r="I58" s="100">
        <f t="shared" si="8"/>
        <v>46.129333333333335</v>
      </c>
      <c r="J58" s="100">
        <f t="shared" si="0"/>
        <v>0.05</v>
      </c>
      <c r="K58" s="100">
        <f t="shared" si="1"/>
        <v>46.179333333333332</v>
      </c>
      <c r="L58" s="101">
        <f t="shared" si="2"/>
        <v>80038.849800000011</v>
      </c>
      <c r="M58" s="101">
        <f t="shared" si="3"/>
        <v>3696140.7245308002</v>
      </c>
      <c r="N58" s="101">
        <f t="shared" si="9"/>
        <v>1433363.3729730442</v>
      </c>
      <c r="O58" s="96">
        <v>0</v>
      </c>
      <c r="P58" s="101">
        <f t="shared" si="4"/>
        <v>5129504.0975038446</v>
      </c>
      <c r="Q58" s="101">
        <v>0</v>
      </c>
      <c r="R58" s="101">
        <f t="shared" si="5"/>
        <v>5129504.0975038446</v>
      </c>
      <c r="S58" s="82">
        <v>3254188</v>
      </c>
      <c r="T58" s="82">
        <v>361979.34</v>
      </c>
    </row>
    <row r="59" spans="1:20" ht="13.5" customHeight="1" x14ac:dyDescent="0.2">
      <c r="A59" s="97" t="s">
        <v>245</v>
      </c>
      <c r="B59" s="98">
        <v>23003</v>
      </c>
      <c r="C59" s="94">
        <v>113</v>
      </c>
      <c r="D59" s="94">
        <v>0</v>
      </c>
      <c r="E59" s="94">
        <f t="shared" si="6"/>
        <v>113</v>
      </c>
      <c r="F59" s="95">
        <v>0</v>
      </c>
      <c r="G59" s="95">
        <f t="shared" si="7"/>
        <v>0</v>
      </c>
      <c r="H59" s="100">
        <f t="shared" si="10"/>
        <v>12</v>
      </c>
      <c r="I59" s="100">
        <f t="shared" si="8"/>
        <v>9.4166666666666661</v>
      </c>
      <c r="J59" s="100">
        <f t="shared" si="0"/>
        <v>0</v>
      </c>
      <c r="K59" s="100">
        <f t="shared" si="1"/>
        <v>9.4166666666666661</v>
      </c>
      <c r="L59" s="101">
        <f t="shared" si="2"/>
        <v>80038.849800000011</v>
      </c>
      <c r="M59" s="101">
        <f t="shared" si="3"/>
        <v>753699.16895000008</v>
      </c>
      <c r="N59" s="101">
        <f t="shared" si="9"/>
        <v>292284.53771881002</v>
      </c>
      <c r="O59" s="96">
        <v>0</v>
      </c>
      <c r="P59" s="101">
        <f t="shared" si="4"/>
        <v>1045983.7066688101</v>
      </c>
      <c r="Q59" s="101">
        <v>0</v>
      </c>
      <c r="R59" s="101">
        <f t="shared" si="5"/>
        <v>1045983.7066688101</v>
      </c>
      <c r="S59" s="82">
        <v>198414</v>
      </c>
      <c r="T59" s="82">
        <v>25292.06</v>
      </c>
    </row>
    <row r="60" spans="1:20" ht="13.5" customHeight="1" x14ac:dyDescent="0.2">
      <c r="A60" s="97" t="s">
        <v>296</v>
      </c>
      <c r="B60" s="98">
        <v>24004</v>
      </c>
      <c r="C60" s="94">
        <v>386</v>
      </c>
      <c r="D60" s="94">
        <v>0</v>
      </c>
      <c r="E60" s="94">
        <f t="shared" si="6"/>
        <v>386</v>
      </c>
      <c r="F60" s="95">
        <v>6.75</v>
      </c>
      <c r="G60" s="95">
        <f t="shared" si="7"/>
        <v>27</v>
      </c>
      <c r="H60" s="100">
        <f t="shared" si="10"/>
        <v>13.395</v>
      </c>
      <c r="I60" s="100">
        <f t="shared" si="8"/>
        <v>28.816722657708102</v>
      </c>
      <c r="J60" s="100">
        <f t="shared" si="0"/>
        <v>0.50391937290033595</v>
      </c>
      <c r="K60" s="100">
        <f t="shared" si="1"/>
        <v>29.320642030608436</v>
      </c>
      <c r="L60" s="101">
        <f t="shared" si="2"/>
        <v>80038.849800000011</v>
      </c>
      <c r="M60" s="101">
        <f t="shared" si="3"/>
        <v>2346790.4635274359</v>
      </c>
      <c r="N60" s="101">
        <f t="shared" si="9"/>
        <v>910085.34175593965</v>
      </c>
      <c r="O60" s="96">
        <v>0</v>
      </c>
      <c r="P60" s="101">
        <f t="shared" si="4"/>
        <v>3256875.8052833756</v>
      </c>
      <c r="Q60" s="101">
        <v>0</v>
      </c>
      <c r="R60" s="101">
        <f t="shared" si="5"/>
        <v>3256875.8052833756</v>
      </c>
      <c r="S60" s="82">
        <v>1426526</v>
      </c>
      <c r="T60" s="82">
        <v>164686.18</v>
      </c>
    </row>
    <row r="61" spans="1:20" ht="13.5" customHeight="1" x14ac:dyDescent="0.2">
      <c r="A61" s="97" t="s">
        <v>236</v>
      </c>
      <c r="B61" s="98">
        <v>25004</v>
      </c>
      <c r="C61" s="94">
        <v>974.83</v>
      </c>
      <c r="D61" s="94">
        <v>0.2</v>
      </c>
      <c r="E61" s="94">
        <f t="shared" si="6"/>
        <v>975.03000000000009</v>
      </c>
      <c r="F61" s="95">
        <v>16</v>
      </c>
      <c r="G61" s="95">
        <f t="shared" si="7"/>
        <v>64</v>
      </c>
      <c r="H61" s="100">
        <f t="shared" si="10"/>
        <v>15</v>
      </c>
      <c r="I61" s="100">
        <f t="shared" si="8"/>
        <v>65.00200000000001</v>
      </c>
      <c r="J61" s="100">
        <f t="shared" si="0"/>
        <v>1.0666666666666667</v>
      </c>
      <c r="K61" s="100">
        <f t="shared" si="1"/>
        <v>66.068666666666672</v>
      </c>
      <c r="L61" s="101">
        <f t="shared" si="2"/>
        <v>80038.849800000011</v>
      </c>
      <c r="M61" s="101">
        <f t="shared" si="3"/>
        <v>5288060.0878196014</v>
      </c>
      <c r="N61" s="101">
        <f t="shared" si="9"/>
        <v>2050709.7020564412</v>
      </c>
      <c r="O61" s="96">
        <v>0</v>
      </c>
      <c r="P61" s="101">
        <f t="shared" si="4"/>
        <v>7338769.7898760429</v>
      </c>
      <c r="Q61" s="101">
        <v>0</v>
      </c>
      <c r="R61" s="101">
        <f t="shared" si="5"/>
        <v>7338769.7898760429</v>
      </c>
      <c r="S61" s="82">
        <v>3382364</v>
      </c>
      <c r="T61" s="82">
        <v>341863.17000000004</v>
      </c>
    </row>
    <row r="62" spans="1:20" ht="12.75" customHeight="1" x14ac:dyDescent="0.2">
      <c r="A62" s="97" t="s">
        <v>162</v>
      </c>
      <c r="B62" s="98">
        <v>26002</v>
      </c>
      <c r="C62" s="94">
        <v>214</v>
      </c>
      <c r="D62" s="94">
        <v>0.1</v>
      </c>
      <c r="E62" s="94">
        <f t="shared" si="6"/>
        <v>214.1</v>
      </c>
      <c r="F62" s="95">
        <v>0.25</v>
      </c>
      <c r="G62" s="95">
        <f t="shared" si="7"/>
        <v>1</v>
      </c>
      <c r="H62" s="100">
        <f t="shared" si="10"/>
        <v>12.10575</v>
      </c>
      <c r="I62" s="100">
        <f t="shared" si="8"/>
        <v>17.685810461970551</v>
      </c>
      <c r="J62" s="100">
        <f t="shared" si="0"/>
        <v>2.0651343369886211E-2</v>
      </c>
      <c r="K62" s="100">
        <f t="shared" si="1"/>
        <v>17.706461805340435</v>
      </c>
      <c r="L62" s="101">
        <f t="shared" si="2"/>
        <v>80038.849800000011</v>
      </c>
      <c r="M62" s="101">
        <f t="shared" si="3"/>
        <v>1417204.8369270801</v>
      </c>
      <c r="N62" s="101">
        <f t="shared" si="9"/>
        <v>549592.03576032165</v>
      </c>
      <c r="O62" s="96">
        <v>0</v>
      </c>
      <c r="P62" s="101">
        <f t="shared" si="4"/>
        <v>1966796.8726874017</v>
      </c>
      <c r="Q62" s="101">
        <v>0</v>
      </c>
      <c r="R62" s="101">
        <f t="shared" si="5"/>
        <v>1966796.8726874017</v>
      </c>
      <c r="S62" s="82">
        <v>486604</v>
      </c>
      <c r="T62" s="82">
        <v>107627.29</v>
      </c>
    </row>
    <row r="63" spans="1:20" ht="13.5" customHeight="1" x14ac:dyDescent="0.2">
      <c r="A63" s="97" t="s">
        <v>200</v>
      </c>
      <c r="B63" s="98">
        <v>26004</v>
      </c>
      <c r="C63" s="94">
        <v>419.45</v>
      </c>
      <c r="D63" s="94">
        <v>0.1</v>
      </c>
      <c r="E63" s="94">
        <f t="shared" si="6"/>
        <v>419.55</v>
      </c>
      <c r="F63" s="95">
        <v>0</v>
      </c>
      <c r="G63" s="95">
        <f t="shared" si="7"/>
        <v>0</v>
      </c>
      <c r="H63" s="100">
        <f t="shared" si="10"/>
        <v>13.646625</v>
      </c>
      <c r="I63" s="100">
        <f t="shared" si="8"/>
        <v>30.743865241405842</v>
      </c>
      <c r="J63" s="100">
        <f t="shared" si="0"/>
        <v>0</v>
      </c>
      <c r="K63" s="100">
        <f t="shared" si="1"/>
        <v>30.743865241405842</v>
      </c>
      <c r="L63" s="101">
        <f t="shared" si="2"/>
        <v>80038.849800000011</v>
      </c>
      <c r="M63" s="101">
        <f t="shared" si="3"/>
        <v>2460703.6123283231</v>
      </c>
      <c r="N63" s="101">
        <f t="shared" si="9"/>
        <v>954260.86086092365</v>
      </c>
      <c r="O63" s="96">
        <v>0</v>
      </c>
      <c r="P63" s="101">
        <f t="shared" si="4"/>
        <v>3414964.4731892468</v>
      </c>
      <c r="Q63" s="101">
        <v>0</v>
      </c>
      <c r="R63" s="101">
        <f t="shared" si="5"/>
        <v>3414964.4731892468</v>
      </c>
      <c r="S63" s="82">
        <v>876824</v>
      </c>
      <c r="T63" s="82">
        <v>201466.03</v>
      </c>
    </row>
    <row r="64" spans="1:20" ht="13.5" customHeight="1" x14ac:dyDescent="0.2">
      <c r="A64" s="97" t="s">
        <v>264</v>
      </c>
      <c r="B64" s="98">
        <v>26005</v>
      </c>
      <c r="C64" s="94">
        <v>79.069999999999993</v>
      </c>
      <c r="D64" s="94">
        <v>0</v>
      </c>
      <c r="E64" s="94">
        <f t="shared" si="6"/>
        <v>79.069999999999993</v>
      </c>
      <c r="F64" s="95">
        <v>0</v>
      </c>
      <c r="G64" s="95">
        <f t="shared" si="7"/>
        <v>0</v>
      </c>
      <c r="H64" s="100">
        <f t="shared" si="10"/>
        <v>12</v>
      </c>
      <c r="I64" s="100">
        <f t="shared" si="8"/>
        <v>6.5891666666666664</v>
      </c>
      <c r="J64" s="100">
        <f t="shared" si="0"/>
        <v>0</v>
      </c>
      <c r="K64" s="100">
        <f t="shared" si="1"/>
        <v>6.5891666666666664</v>
      </c>
      <c r="L64" s="101">
        <f t="shared" si="2"/>
        <v>80038.849800000011</v>
      </c>
      <c r="M64" s="101">
        <f t="shared" si="3"/>
        <v>527389.32114050002</v>
      </c>
      <c r="N64" s="101">
        <f t="shared" si="9"/>
        <v>204521.5787382859</v>
      </c>
      <c r="O64" s="96">
        <v>0</v>
      </c>
      <c r="P64" s="101">
        <f t="shared" si="4"/>
        <v>731910.89987878595</v>
      </c>
      <c r="Q64" s="101">
        <v>0</v>
      </c>
      <c r="R64" s="101">
        <f t="shared" si="5"/>
        <v>731910.89987878595</v>
      </c>
      <c r="S64" s="82">
        <v>350665</v>
      </c>
      <c r="T64" s="82">
        <v>68149.67</v>
      </c>
    </row>
    <row r="65" spans="1:20" ht="13.5" customHeight="1" x14ac:dyDescent="0.2">
      <c r="A65" s="97" t="s">
        <v>202</v>
      </c>
      <c r="B65" s="98">
        <v>27001</v>
      </c>
      <c r="C65" s="94">
        <v>327.95</v>
      </c>
      <c r="D65" s="94">
        <v>0.1</v>
      </c>
      <c r="E65" s="94">
        <f t="shared" si="6"/>
        <v>328.05</v>
      </c>
      <c r="F65" s="95">
        <v>0</v>
      </c>
      <c r="G65" s="95">
        <f t="shared" si="7"/>
        <v>0</v>
      </c>
      <c r="H65" s="100">
        <f t="shared" si="10"/>
        <v>12.960374999999999</v>
      </c>
      <c r="I65" s="100">
        <f t="shared" si="8"/>
        <v>25.311767599317154</v>
      </c>
      <c r="J65" s="100">
        <f t="shared" si="0"/>
        <v>0</v>
      </c>
      <c r="K65" s="100">
        <f t="shared" si="1"/>
        <v>25.311767599317154</v>
      </c>
      <c r="L65" s="101">
        <f t="shared" si="2"/>
        <v>80038.849800000011</v>
      </c>
      <c r="M65" s="101">
        <f t="shared" si="3"/>
        <v>2025924.7650542525</v>
      </c>
      <c r="N65" s="101">
        <f t="shared" si="9"/>
        <v>785653.62388803903</v>
      </c>
      <c r="O65" s="96">
        <v>0</v>
      </c>
      <c r="P65" s="101">
        <f t="shared" si="4"/>
        <v>2811578.3889422915</v>
      </c>
      <c r="Q65" s="101">
        <v>0</v>
      </c>
      <c r="R65" s="101">
        <f t="shared" si="5"/>
        <v>2811578.3889422915</v>
      </c>
      <c r="S65" s="82">
        <v>899970</v>
      </c>
      <c r="T65" s="82">
        <v>244350.21999999997</v>
      </c>
    </row>
    <row r="66" spans="1:20" ht="13.5" customHeight="1" x14ac:dyDescent="0.2">
      <c r="A66" s="97" t="s">
        <v>165</v>
      </c>
      <c r="B66" s="98">
        <v>28001</v>
      </c>
      <c r="C66" s="94">
        <v>341</v>
      </c>
      <c r="D66" s="94">
        <v>0</v>
      </c>
      <c r="E66" s="94">
        <f t="shared" si="6"/>
        <v>341</v>
      </c>
      <c r="F66" s="95">
        <v>4</v>
      </c>
      <c r="G66" s="95">
        <f t="shared" si="7"/>
        <v>16</v>
      </c>
      <c r="H66" s="100">
        <f t="shared" si="10"/>
        <v>13.057500000000001</v>
      </c>
      <c r="I66" s="100">
        <f t="shared" si="8"/>
        <v>26.115259429446677</v>
      </c>
      <c r="J66" s="100">
        <f t="shared" si="0"/>
        <v>0.30633735401110468</v>
      </c>
      <c r="K66" s="100">
        <f t="shared" si="1"/>
        <v>26.421596783457783</v>
      </c>
      <c r="L66" s="101">
        <f t="shared" si="2"/>
        <v>80038.849800000011</v>
      </c>
      <c r="M66" s="101">
        <f t="shared" si="3"/>
        <v>2114754.2164273411</v>
      </c>
      <c r="N66" s="101">
        <f t="shared" si="9"/>
        <v>820101.68513052282</v>
      </c>
      <c r="O66" s="96">
        <v>0</v>
      </c>
      <c r="P66" s="101">
        <f t="shared" si="4"/>
        <v>2934855.9015578637</v>
      </c>
      <c r="Q66" s="101">
        <v>0</v>
      </c>
      <c r="R66" s="101">
        <f t="shared" si="5"/>
        <v>2934855.9015578637</v>
      </c>
      <c r="S66" s="82">
        <v>684716</v>
      </c>
      <c r="T66" s="82">
        <v>123382.81999999999</v>
      </c>
    </row>
    <row r="67" spans="1:20" ht="13.5" customHeight="1" x14ac:dyDescent="0.2">
      <c r="A67" s="97" t="s">
        <v>188</v>
      </c>
      <c r="B67" s="98">
        <v>28002</v>
      </c>
      <c r="C67" s="94">
        <v>274.93</v>
      </c>
      <c r="D67" s="94">
        <v>0</v>
      </c>
      <c r="E67" s="94">
        <f t="shared" si="6"/>
        <v>274.93</v>
      </c>
      <c r="F67" s="95">
        <v>2.25</v>
      </c>
      <c r="G67" s="95">
        <f t="shared" si="7"/>
        <v>9</v>
      </c>
      <c r="H67" s="100">
        <f t="shared" si="10"/>
        <v>12.561975</v>
      </c>
      <c r="I67" s="100">
        <f t="shared" si="8"/>
        <v>21.885889758576976</v>
      </c>
      <c r="J67" s="100">
        <f t="shared" si="0"/>
        <v>0.1791119628880013</v>
      </c>
      <c r="K67" s="100">
        <f t="shared" si="1"/>
        <v>22.065001721464977</v>
      </c>
      <c r="L67" s="101">
        <f t="shared" si="2"/>
        <v>80038.849800000011</v>
      </c>
      <c r="M67" s="101">
        <f t="shared" si="3"/>
        <v>1766057.3586210769</v>
      </c>
      <c r="N67" s="101">
        <f t="shared" si="9"/>
        <v>684877.04367325362</v>
      </c>
      <c r="O67" s="96">
        <v>0</v>
      </c>
      <c r="P67" s="101">
        <f t="shared" si="4"/>
        <v>2450934.4022943303</v>
      </c>
      <c r="Q67" s="101">
        <v>0</v>
      </c>
      <c r="R67" s="101">
        <f t="shared" si="5"/>
        <v>2450934.4022943303</v>
      </c>
      <c r="S67" s="82">
        <v>1365075</v>
      </c>
      <c r="T67" s="82">
        <v>159092.17000000001</v>
      </c>
    </row>
    <row r="68" spans="1:20" ht="13.5" customHeight="1" x14ac:dyDescent="0.2">
      <c r="A68" s="97" t="s">
        <v>203</v>
      </c>
      <c r="B68" s="98">
        <v>28003</v>
      </c>
      <c r="C68" s="94">
        <v>867</v>
      </c>
      <c r="D68" s="94">
        <v>0</v>
      </c>
      <c r="E68" s="94">
        <f t="shared" si="6"/>
        <v>867</v>
      </c>
      <c r="F68" s="95">
        <v>6.75</v>
      </c>
      <c r="G68" s="95">
        <f t="shared" si="7"/>
        <v>27</v>
      </c>
      <c r="H68" s="100">
        <f t="shared" si="10"/>
        <v>15</v>
      </c>
      <c r="I68" s="100">
        <f t="shared" si="8"/>
        <v>57.8</v>
      </c>
      <c r="J68" s="100">
        <f t="shared" si="0"/>
        <v>0.45</v>
      </c>
      <c r="K68" s="100">
        <f t="shared" si="1"/>
        <v>58.25</v>
      </c>
      <c r="L68" s="101">
        <f t="shared" si="2"/>
        <v>80038.849800000011</v>
      </c>
      <c r="M68" s="101">
        <f t="shared" si="3"/>
        <v>4662263.0008500004</v>
      </c>
      <c r="N68" s="101">
        <f t="shared" si="9"/>
        <v>1808025.59172963</v>
      </c>
      <c r="O68" s="96">
        <v>0</v>
      </c>
      <c r="P68" s="101">
        <f t="shared" si="4"/>
        <v>6470288.5925796302</v>
      </c>
      <c r="Q68" s="101">
        <v>0</v>
      </c>
      <c r="R68" s="101">
        <f t="shared" si="5"/>
        <v>6470288.5925796302</v>
      </c>
      <c r="S68" s="82">
        <v>2304214</v>
      </c>
      <c r="T68" s="82">
        <v>341740.42</v>
      </c>
    </row>
    <row r="69" spans="1:20" ht="13.5" customHeight="1" x14ac:dyDescent="0.2">
      <c r="A69" s="97" t="s">
        <v>237</v>
      </c>
      <c r="B69" s="98">
        <v>29004</v>
      </c>
      <c r="C69" s="94">
        <v>483.54</v>
      </c>
      <c r="D69" s="94">
        <v>0</v>
      </c>
      <c r="E69" s="94">
        <f t="shared" si="6"/>
        <v>483.54</v>
      </c>
      <c r="F69" s="95">
        <v>5.75</v>
      </c>
      <c r="G69" s="95">
        <f t="shared" si="7"/>
        <v>23</v>
      </c>
      <c r="H69" s="100">
        <f t="shared" si="10"/>
        <v>14.12655</v>
      </c>
      <c r="I69" s="100">
        <f t="shared" si="8"/>
        <v>34.229164233305376</v>
      </c>
      <c r="J69" s="100">
        <f t="shared" ref="J69:J132" si="11">F69/H69</f>
        <v>0.4070349802322577</v>
      </c>
      <c r="K69" s="100">
        <f t="shared" ref="K69:K132" si="12">I69+J69</f>
        <v>34.636199213537637</v>
      </c>
      <c r="L69" s="101">
        <f t="shared" ref="L69:L132" si="13">$L$4*1.29</f>
        <v>80038.849800000011</v>
      </c>
      <c r="M69" s="101">
        <f t="shared" ref="M69:M132" si="14">K69*L69</f>
        <v>2772241.5464952174</v>
      </c>
      <c r="N69" s="101">
        <f t="shared" si="9"/>
        <v>1075075.2717308453</v>
      </c>
      <c r="O69" s="96">
        <v>0</v>
      </c>
      <c r="P69" s="101">
        <f t="shared" ref="P69:P132" si="15">M69+N69+O69</f>
        <v>3847316.8182260627</v>
      </c>
      <c r="Q69" s="101">
        <v>0</v>
      </c>
      <c r="R69" s="101">
        <f t="shared" ref="R69:R132" si="16">IF(Q69=0,P69,Q69)</f>
        <v>3847316.8182260627</v>
      </c>
      <c r="S69" s="82">
        <v>2258201</v>
      </c>
      <c r="T69" s="82">
        <v>331380.49</v>
      </c>
    </row>
    <row r="70" spans="1:20" ht="13.5" customHeight="1" x14ac:dyDescent="0.2">
      <c r="A70" s="97" t="s">
        <v>204</v>
      </c>
      <c r="B70" s="98">
        <v>30001</v>
      </c>
      <c r="C70" s="94">
        <v>371</v>
      </c>
      <c r="D70" s="94">
        <v>0</v>
      </c>
      <c r="E70" s="94">
        <f t="shared" ref="E70:E133" si="17">SUM(C70:D70)</f>
        <v>371</v>
      </c>
      <c r="F70" s="95">
        <v>4</v>
      </c>
      <c r="G70" s="95">
        <f t="shared" ref="G70:G133" si="18">F70/0.25</f>
        <v>16</v>
      </c>
      <c r="H70" s="100">
        <f t="shared" si="10"/>
        <v>13.282499999999999</v>
      </c>
      <c r="I70" s="100">
        <f t="shared" ref="I70:I133" si="19">(C70+D70)/H70</f>
        <v>27.931488801054019</v>
      </c>
      <c r="J70" s="100">
        <f t="shared" si="11"/>
        <v>0.30114812723508377</v>
      </c>
      <c r="K70" s="100">
        <f t="shared" si="12"/>
        <v>28.232636928289104</v>
      </c>
      <c r="L70" s="101">
        <f t="shared" si="13"/>
        <v>80038.849800000011</v>
      </c>
      <c r="M70" s="101">
        <f t="shared" si="14"/>
        <v>2259707.7865612651</v>
      </c>
      <c r="N70" s="101">
        <f t="shared" ref="N70:N133" si="20">M70*0.3878</f>
        <v>876314.67962845857</v>
      </c>
      <c r="O70" s="96">
        <v>0</v>
      </c>
      <c r="P70" s="101">
        <f t="shared" si="15"/>
        <v>3136022.4661897235</v>
      </c>
      <c r="Q70" s="101">
        <v>0</v>
      </c>
      <c r="R70" s="101">
        <f t="shared" si="16"/>
        <v>3136022.4661897235</v>
      </c>
      <c r="S70" s="82">
        <v>950986</v>
      </c>
      <c r="T70" s="82">
        <v>159894.36999999997</v>
      </c>
    </row>
    <row r="71" spans="1:20" ht="13.5" customHeight="1" x14ac:dyDescent="0.2">
      <c r="A71" s="97" t="s">
        <v>361</v>
      </c>
      <c r="B71" s="98">
        <v>30003</v>
      </c>
      <c r="C71" s="94">
        <v>317.2</v>
      </c>
      <c r="D71" s="94">
        <v>0</v>
      </c>
      <c r="E71" s="94">
        <f t="shared" si="17"/>
        <v>317.2</v>
      </c>
      <c r="F71" s="95">
        <v>0.25</v>
      </c>
      <c r="G71" s="95">
        <f t="shared" si="18"/>
        <v>1</v>
      </c>
      <c r="H71" s="100">
        <f t="shared" ref="H71:H134" si="21">IF((C71+D71)&lt;200,12,IF((C71+D71)&gt;600,15,((C71+D71)*0.0075)+10.5))</f>
        <v>12.879</v>
      </c>
      <c r="I71" s="100">
        <f t="shared" si="19"/>
        <v>24.629241400729871</v>
      </c>
      <c r="J71" s="100">
        <f t="shared" si="11"/>
        <v>1.9411444987964904E-2</v>
      </c>
      <c r="K71" s="100">
        <f t="shared" si="12"/>
        <v>24.648652845717837</v>
      </c>
      <c r="L71" s="101">
        <f t="shared" si="13"/>
        <v>80038.849800000011</v>
      </c>
      <c r="M71" s="101">
        <f t="shared" si="14"/>
        <v>1972849.8228907529</v>
      </c>
      <c r="N71" s="101">
        <f t="shared" si="20"/>
        <v>765071.16131703393</v>
      </c>
      <c r="O71" s="96">
        <v>0</v>
      </c>
      <c r="P71" s="101">
        <f t="shared" si="15"/>
        <v>2737920.9842077866</v>
      </c>
      <c r="Q71" s="101">
        <v>0</v>
      </c>
      <c r="R71" s="101">
        <f t="shared" si="16"/>
        <v>2737920.9842077866</v>
      </c>
      <c r="S71" s="82">
        <v>888287</v>
      </c>
      <c r="T71" s="82">
        <v>131250.43</v>
      </c>
    </row>
    <row r="72" spans="1:20" ht="13.5" customHeight="1" x14ac:dyDescent="0.2">
      <c r="A72" s="97" t="s">
        <v>205</v>
      </c>
      <c r="B72" s="98">
        <v>31001</v>
      </c>
      <c r="C72" s="94">
        <v>226.5</v>
      </c>
      <c r="D72" s="94">
        <v>0.30000000000000004</v>
      </c>
      <c r="E72" s="94">
        <f t="shared" si="17"/>
        <v>226.8</v>
      </c>
      <c r="F72" s="95">
        <v>0</v>
      </c>
      <c r="G72" s="95">
        <f t="shared" si="18"/>
        <v>0</v>
      </c>
      <c r="H72" s="100">
        <f t="shared" si="21"/>
        <v>12.201000000000001</v>
      </c>
      <c r="I72" s="100">
        <f t="shared" si="19"/>
        <v>18.588640275387263</v>
      </c>
      <c r="J72" s="100">
        <f t="shared" si="11"/>
        <v>0</v>
      </c>
      <c r="K72" s="100">
        <f t="shared" si="12"/>
        <v>18.588640275387263</v>
      </c>
      <c r="L72" s="101">
        <f t="shared" si="13"/>
        <v>80038.849800000011</v>
      </c>
      <c r="M72" s="101">
        <f t="shared" si="14"/>
        <v>1487813.386987952</v>
      </c>
      <c r="N72" s="101">
        <f t="shared" si="20"/>
        <v>576974.03147392778</v>
      </c>
      <c r="O72" s="96">
        <v>0</v>
      </c>
      <c r="P72" s="101">
        <f t="shared" si="15"/>
        <v>2064787.4184618797</v>
      </c>
      <c r="Q72" s="101">
        <v>0</v>
      </c>
      <c r="R72" s="101">
        <f t="shared" si="16"/>
        <v>2064787.4184618797</v>
      </c>
      <c r="S72" s="82">
        <v>850552</v>
      </c>
      <c r="T72" s="82">
        <v>206488.25</v>
      </c>
    </row>
    <row r="73" spans="1:20" ht="13.5" customHeight="1" x14ac:dyDescent="0.2">
      <c r="A73" s="97" t="s">
        <v>250</v>
      </c>
      <c r="B73" s="98">
        <v>32002</v>
      </c>
      <c r="C73" s="94">
        <v>2761.1</v>
      </c>
      <c r="D73" s="94">
        <v>0.1</v>
      </c>
      <c r="E73" s="94">
        <f t="shared" si="17"/>
        <v>2761.2</v>
      </c>
      <c r="F73" s="95">
        <v>5.5</v>
      </c>
      <c r="G73" s="95">
        <f t="shared" si="18"/>
        <v>22</v>
      </c>
      <c r="H73" s="100">
        <f t="shared" si="21"/>
        <v>15</v>
      </c>
      <c r="I73" s="100">
        <f t="shared" si="19"/>
        <v>184.07999999999998</v>
      </c>
      <c r="J73" s="100">
        <f t="shared" si="11"/>
        <v>0.36666666666666664</v>
      </c>
      <c r="K73" s="100">
        <f t="shared" si="12"/>
        <v>184.44666666666666</v>
      </c>
      <c r="L73" s="101">
        <f t="shared" si="13"/>
        <v>80038.849800000011</v>
      </c>
      <c r="M73" s="101">
        <f t="shared" si="14"/>
        <v>14762899.049444001</v>
      </c>
      <c r="N73" s="101">
        <f t="shared" si="20"/>
        <v>5725052.2513743835</v>
      </c>
      <c r="O73" s="96">
        <v>12130</v>
      </c>
      <c r="P73" s="101">
        <f t="shared" si="15"/>
        <v>20500081.300818384</v>
      </c>
      <c r="Q73" s="101">
        <v>0</v>
      </c>
      <c r="R73" s="101">
        <f t="shared" si="16"/>
        <v>20500081.300818384</v>
      </c>
      <c r="S73" s="82">
        <v>6948085</v>
      </c>
      <c r="T73" s="82">
        <v>1202974.78</v>
      </c>
    </row>
    <row r="74" spans="1:20" ht="13.5" customHeight="1" x14ac:dyDescent="0.2">
      <c r="A74" s="97" t="s">
        <v>196</v>
      </c>
      <c r="B74" s="98">
        <v>33001</v>
      </c>
      <c r="C74" s="94">
        <v>428.23</v>
      </c>
      <c r="D74" s="94">
        <v>0</v>
      </c>
      <c r="E74" s="94">
        <f t="shared" si="17"/>
        <v>428.23</v>
      </c>
      <c r="F74" s="95">
        <v>9.25</v>
      </c>
      <c r="G74" s="95">
        <f t="shared" si="18"/>
        <v>37</v>
      </c>
      <c r="H74" s="100">
        <f t="shared" si="21"/>
        <v>13.711724999999999</v>
      </c>
      <c r="I74" s="100">
        <f t="shared" si="19"/>
        <v>31.230935567917243</v>
      </c>
      <c r="J74" s="100">
        <f t="shared" si="11"/>
        <v>0.67460512809292783</v>
      </c>
      <c r="K74" s="100">
        <f t="shared" si="12"/>
        <v>31.905540696010171</v>
      </c>
      <c r="L74" s="101">
        <f t="shared" si="13"/>
        <v>80038.849800000011</v>
      </c>
      <c r="M74" s="101">
        <f t="shared" si="14"/>
        <v>2553682.7795557459</v>
      </c>
      <c r="N74" s="101">
        <f t="shared" si="20"/>
        <v>990318.18191171822</v>
      </c>
      <c r="O74" s="96">
        <v>0</v>
      </c>
      <c r="P74" s="101">
        <f t="shared" si="15"/>
        <v>3544000.961467464</v>
      </c>
      <c r="Q74" s="101">
        <v>0</v>
      </c>
      <c r="R74" s="101">
        <f t="shared" si="16"/>
        <v>3544000.961467464</v>
      </c>
      <c r="S74" s="82">
        <v>1123261</v>
      </c>
      <c r="T74" s="82">
        <v>210730.73</v>
      </c>
    </row>
    <row r="75" spans="1:20" ht="13.5" customHeight="1" x14ac:dyDescent="0.2">
      <c r="A75" s="97" t="s">
        <v>235</v>
      </c>
      <c r="B75" s="98">
        <v>33002</v>
      </c>
      <c r="C75" s="94">
        <v>252</v>
      </c>
      <c r="D75" s="94">
        <v>0</v>
      </c>
      <c r="E75" s="94">
        <f t="shared" si="17"/>
        <v>252</v>
      </c>
      <c r="F75" s="95">
        <v>8.25</v>
      </c>
      <c r="G75" s="95">
        <f t="shared" si="18"/>
        <v>33</v>
      </c>
      <c r="H75" s="100">
        <f t="shared" si="21"/>
        <v>12.39</v>
      </c>
      <c r="I75" s="100">
        <f t="shared" si="19"/>
        <v>20.338983050847457</v>
      </c>
      <c r="J75" s="100">
        <f t="shared" si="11"/>
        <v>0.66585956416464886</v>
      </c>
      <c r="K75" s="100">
        <f t="shared" si="12"/>
        <v>21.004842615012105</v>
      </c>
      <c r="L75" s="101">
        <f t="shared" si="13"/>
        <v>80038.849800000011</v>
      </c>
      <c r="M75" s="101">
        <f t="shared" si="14"/>
        <v>1681203.4431355933</v>
      </c>
      <c r="N75" s="101">
        <f t="shared" si="20"/>
        <v>651970.69524798309</v>
      </c>
      <c r="O75" s="96">
        <v>0</v>
      </c>
      <c r="P75" s="101">
        <f t="shared" si="15"/>
        <v>2333174.1383835766</v>
      </c>
      <c r="Q75" s="101">
        <v>0</v>
      </c>
      <c r="R75" s="101">
        <f t="shared" si="16"/>
        <v>2333174.1383835766</v>
      </c>
      <c r="S75" s="82">
        <v>675895</v>
      </c>
      <c r="T75" s="82">
        <v>436742.85</v>
      </c>
    </row>
    <row r="76" spans="1:20" ht="13.5" customHeight="1" x14ac:dyDescent="0.2">
      <c r="A76" s="97" t="s">
        <v>249</v>
      </c>
      <c r="B76" s="98">
        <v>33003</v>
      </c>
      <c r="C76" s="94">
        <v>535.20000000000005</v>
      </c>
      <c r="D76" s="94">
        <v>0.1</v>
      </c>
      <c r="E76" s="94">
        <f t="shared" si="17"/>
        <v>535.30000000000007</v>
      </c>
      <c r="F76" s="95">
        <v>5.5</v>
      </c>
      <c r="G76" s="95">
        <f t="shared" si="18"/>
        <v>22</v>
      </c>
      <c r="H76" s="100">
        <f>(((C76+D76-26.18))*0.0075)+10.5</f>
        <v>14.3184</v>
      </c>
      <c r="I76" s="100">
        <f t="shared" si="19"/>
        <v>37.385462062800315</v>
      </c>
      <c r="J76" s="100">
        <f t="shared" si="11"/>
        <v>0.38412113085260924</v>
      </c>
      <c r="K76" s="100">
        <f t="shared" si="12"/>
        <v>37.769583193652927</v>
      </c>
      <c r="L76" s="101">
        <f t="shared" si="13"/>
        <v>80038.849800000011</v>
      </c>
      <c r="M76" s="101">
        <f t="shared" si="14"/>
        <v>3023033.9962453912</v>
      </c>
      <c r="N76" s="101">
        <f t="shared" si="20"/>
        <v>1172332.5837439627</v>
      </c>
      <c r="O76" s="96">
        <v>0</v>
      </c>
      <c r="P76" s="101">
        <f t="shared" si="15"/>
        <v>4195366.5799893541</v>
      </c>
      <c r="Q76" s="101">
        <v>0</v>
      </c>
      <c r="R76" s="101">
        <f t="shared" si="16"/>
        <v>4195366.5799893541</v>
      </c>
      <c r="S76" s="82">
        <v>1196782</v>
      </c>
      <c r="T76" s="82">
        <v>177633.95</v>
      </c>
    </row>
    <row r="77" spans="1:20" ht="13.5" customHeight="1" x14ac:dyDescent="0.2">
      <c r="A77" s="97" t="s">
        <v>271</v>
      </c>
      <c r="B77" s="98">
        <v>33005</v>
      </c>
      <c r="C77" s="94">
        <v>154</v>
      </c>
      <c r="D77" s="94">
        <v>0.1</v>
      </c>
      <c r="E77" s="94">
        <f t="shared" si="17"/>
        <v>154.1</v>
      </c>
      <c r="F77" s="95">
        <v>4.25</v>
      </c>
      <c r="G77" s="95">
        <f t="shared" si="18"/>
        <v>17</v>
      </c>
      <c r="H77" s="100">
        <f t="shared" si="21"/>
        <v>12</v>
      </c>
      <c r="I77" s="100">
        <f t="shared" si="19"/>
        <v>12.841666666666667</v>
      </c>
      <c r="J77" s="100">
        <f t="shared" si="11"/>
        <v>0.35416666666666669</v>
      </c>
      <c r="K77" s="100">
        <f t="shared" si="12"/>
        <v>13.195833333333333</v>
      </c>
      <c r="L77" s="101">
        <f t="shared" si="13"/>
        <v>80038.849800000011</v>
      </c>
      <c r="M77" s="101">
        <f t="shared" si="14"/>
        <v>1056179.3221525</v>
      </c>
      <c r="N77" s="101">
        <f t="shared" si="20"/>
        <v>409586.34113073949</v>
      </c>
      <c r="O77" s="96">
        <v>0</v>
      </c>
      <c r="P77" s="101">
        <f t="shared" si="15"/>
        <v>1465765.6632832396</v>
      </c>
      <c r="Q77" s="101">
        <v>0</v>
      </c>
      <c r="R77" s="101">
        <f t="shared" si="16"/>
        <v>1465765.6632832396</v>
      </c>
      <c r="S77" s="82">
        <v>707678</v>
      </c>
      <c r="T77" s="82">
        <v>238979.97</v>
      </c>
    </row>
    <row r="78" spans="1:20" ht="13.5" customHeight="1" x14ac:dyDescent="0.2">
      <c r="A78" s="97" t="s">
        <v>209</v>
      </c>
      <c r="B78" s="98">
        <v>34002</v>
      </c>
      <c r="C78" s="94">
        <v>214.2</v>
      </c>
      <c r="D78" s="94">
        <v>0</v>
      </c>
      <c r="E78" s="94">
        <f t="shared" si="17"/>
        <v>214.2</v>
      </c>
      <c r="F78" s="95">
        <v>0</v>
      </c>
      <c r="G78" s="95">
        <f t="shared" si="18"/>
        <v>0</v>
      </c>
      <c r="H78" s="100">
        <f t="shared" si="21"/>
        <v>12.1065</v>
      </c>
      <c r="I78" s="100">
        <f t="shared" si="19"/>
        <v>17.692974848222029</v>
      </c>
      <c r="J78" s="100">
        <f t="shared" si="11"/>
        <v>0</v>
      </c>
      <c r="K78" s="100">
        <f t="shared" si="12"/>
        <v>17.692974848222029</v>
      </c>
      <c r="L78" s="101">
        <f t="shared" si="13"/>
        <v>80038.849800000011</v>
      </c>
      <c r="M78" s="101">
        <f t="shared" si="14"/>
        <v>1416125.3563920211</v>
      </c>
      <c r="N78" s="101">
        <f t="shared" si="20"/>
        <v>549173.41320882575</v>
      </c>
      <c r="O78" s="96">
        <v>0</v>
      </c>
      <c r="P78" s="101">
        <f t="shared" si="15"/>
        <v>1965298.7696008468</v>
      </c>
      <c r="Q78" s="101">
        <v>0</v>
      </c>
      <c r="R78" s="101">
        <f t="shared" si="16"/>
        <v>1965298.7696008468</v>
      </c>
      <c r="S78" s="82">
        <v>1382584</v>
      </c>
      <c r="T78" s="82">
        <v>200449.34999999998</v>
      </c>
    </row>
    <row r="79" spans="1:20" ht="13.5" customHeight="1" x14ac:dyDescent="0.2">
      <c r="A79" s="97" t="s">
        <v>220</v>
      </c>
      <c r="B79" s="98">
        <v>35002</v>
      </c>
      <c r="C79" s="94">
        <v>271.83</v>
      </c>
      <c r="D79" s="94">
        <v>0.30000000000000004</v>
      </c>
      <c r="E79" s="94">
        <f t="shared" si="17"/>
        <v>272.13</v>
      </c>
      <c r="F79" s="95">
        <v>0.25</v>
      </c>
      <c r="G79" s="95">
        <f t="shared" si="18"/>
        <v>1</v>
      </c>
      <c r="H79" s="100">
        <f t="shared" si="21"/>
        <v>12.540975</v>
      </c>
      <c r="I79" s="100">
        <f t="shared" si="19"/>
        <v>21.699269793616526</v>
      </c>
      <c r="J79" s="100">
        <f t="shared" si="11"/>
        <v>1.9934654203520859E-2</v>
      </c>
      <c r="K79" s="100">
        <f t="shared" si="12"/>
        <v>21.719204447820047</v>
      </c>
      <c r="L79" s="101">
        <f t="shared" si="13"/>
        <v>80038.849800000011</v>
      </c>
      <c r="M79" s="101">
        <f t="shared" si="14"/>
        <v>1738380.1425745608</v>
      </c>
      <c r="N79" s="101">
        <f t="shared" si="20"/>
        <v>674143.81929041469</v>
      </c>
      <c r="O79" s="96">
        <v>0</v>
      </c>
      <c r="P79" s="101">
        <f t="shared" si="15"/>
        <v>2412523.9618649753</v>
      </c>
      <c r="Q79" s="101">
        <v>0</v>
      </c>
      <c r="R79" s="101">
        <f t="shared" si="16"/>
        <v>2412523.9618649753</v>
      </c>
      <c r="S79" s="82">
        <v>650652</v>
      </c>
      <c r="T79" s="82">
        <v>246817.09000000003</v>
      </c>
    </row>
    <row r="80" spans="1:20" ht="13.5" customHeight="1" x14ac:dyDescent="0.2">
      <c r="A80" s="97" t="s">
        <v>282</v>
      </c>
      <c r="B80" s="98">
        <v>36002</v>
      </c>
      <c r="C80" s="94">
        <v>447.48</v>
      </c>
      <c r="D80" s="94">
        <v>0</v>
      </c>
      <c r="E80" s="94">
        <f t="shared" si="17"/>
        <v>447.48</v>
      </c>
      <c r="F80" s="95">
        <v>3.75</v>
      </c>
      <c r="G80" s="95">
        <f t="shared" si="18"/>
        <v>15</v>
      </c>
      <c r="H80" s="100">
        <f t="shared" si="21"/>
        <v>13.8561</v>
      </c>
      <c r="I80" s="100">
        <f t="shared" si="19"/>
        <v>32.294801567540652</v>
      </c>
      <c r="J80" s="100">
        <f t="shared" si="11"/>
        <v>0.27063892437265896</v>
      </c>
      <c r="K80" s="100">
        <f t="shared" si="12"/>
        <v>32.565440491913314</v>
      </c>
      <c r="L80" s="101">
        <f t="shared" si="13"/>
        <v>80038.849800000011</v>
      </c>
      <c r="M80" s="101">
        <f t="shared" si="14"/>
        <v>2606500.4002030883</v>
      </c>
      <c r="N80" s="101">
        <f t="shared" si="20"/>
        <v>1010800.8551987576</v>
      </c>
      <c r="O80" s="96">
        <v>0</v>
      </c>
      <c r="P80" s="101">
        <f t="shared" si="15"/>
        <v>3617301.255401846</v>
      </c>
      <c r="Q80" s="101">
        <v>0</v>
      </c>
      <c r="R80" s="101">
        <f t="shared" si="16"/>
        <v>3617301.255401846</v>
      </c>
      <c r="S80" s="82">
        <v>1215562</v>
      </c>
      <c r="T80" s="82">
        <v>332814.63</v>
      </c>
    </row>
    <row r="81" spans="1:20" ht="13.5" customHeight="1" x14ac:dyDescent="0.2">
      <c r="A81" s="97" t="s">
        <v>219</v>
      </c>
      <c r="B81" s="98">
        <v>37003</v>
      </c>
      <c r="C81" s="94">
        <v>180</v>
      </c>
      <c r="D81" s="94">
        <v>0</v>
      </c>
      <c r="E81" s="94">
        <f t="shared" si="17"/>
        <v>180</v>
      </c>
      <c r="F81" s="95">
        <v>0</v>
      </c>
      <c r="G81" s="95">
        <f t="shared" si="18"/>
        <v>0</v>
      </c>
      <c r="H81" s="100">
        <f t="shared" si="21"/>
        <v>12</v>
      </c>
      <c r="I81" s="100">
        <f t="shared" si="19"/>
        <v>15</v>
      </c>
      <c r="J81" s="100">
        <f t="shared" si="11"/>
        <v>0</v>
      </c>
      <c r="K81" s="100">
        <f t="shared" si="12"/>
        <v>15</v>
      </c>
      <c r="L81" s="101">
        <f t="shared" si="13"/>
        <v>80038.849800000011</v>
      </c>
      <c r="M81" s="101">
        <f t="shared" si="14"/>
        <v>1200582.7470000002</v>
      </c>
      <c r="N81" s="101">
        <f t="shared" si="20"/>
        <v>465585.98928660003</v>
      </c>
      <c r="O81" s="96">
        <v>0</v>
      </c>
      <c r="P81" s="101">
        <f t="shared" si="15"/>
        <v>1666168.7362866001</v>
      </c>
      <c r="Q81" s="101">
        <v>0</v>
      </c>
      <c r="R81" s="101">
        <f t="shared" si="16"/>
        <v>1666168.7362866001</v>
      </c>
      <c r="S81" s="82">
        <v>570248</v>
      </c>
      <c r="T81" s="82">
        <v>160605.87</v>
      </c>
    </row>
    <row r="82" spans="1:20" ht="13.5" customHeight="1" x14ac:dyDescent="0.2">
      <c r="A82" s="97" t="s">
        <v>147</v>
      </c>
      <c r="B82" s="98">
        <v>38001</v>
      </c>
      <c r="C82" s="94">
        <v>277</v>
      </c>
      <c r="D82" s="94">
        <v>0</v>
      </c>
      <c r="E82" s="94">
        <f t="shared" si="17"/>
        <v>277</v>
      </c>
      <c r="F82" s="95">
        <v>0.75</v>
      </c>
      <c r="G82" s="95">
        <f t="shared" si="18"/>
        <v>3</v>
      </c>
      <c r="H82" s="100">
        <f t="shared" si="21"/>
        <v>12.577500000000001</v>
      </c>
      <c r="I82" s="100">
        <f t="shared" si="19"/>
        <v>22.023454581594116</v>
      </c>
      <c r="J82" s="100">
        <f t="shared" si="11"/>
        <v>5.9630292188431723E-2</v>
      </c>
      <c r="K82" s="100">
        <f t="shared" si="12"/>
        <v>22.083084873782546</v>
      </c>
      <c r="L82" s="101">
        <f t="shared" si="13"/>
        <v>80038.849800000011</v>
      </c>
      <c r="M82" s="101">
        <f t="shared" si="14"/>
        <v>1767504.7133333334</v>
      </c>
      <c r="N82" s="101">
        <f t="shared" si="20"/>
        <v>685438.32783066668</v>
      </c>
      <c r="O82" s="96">
        <v>0</v>
      </c>
      <c r="P82" s="101">
        <f t="shared" si="15"/>
        <v>2452943.0411640001</v>
      </c>
      <c r="Q82" s="101">
        <v>0</v>
      </c>
      <c r="R82" s="101">
        <f t="shared" si="16"/>
        <v>2452943.0411640001</v>
      </c>
      <c r="S82" s="82">
        <v>1168038</v>
      </c>
      <c r="T82" s="82">
        <v>134183.63</v>
      </c>
    </row>
    <row r="83" spans="1:20" ht="13.5" customHeight="1" x14ac:dyDescent="0.2">
      <c r="A83" s="97" t="s">
        <v>175</v>
      </c>
      <c r="B83" s="98">
        <v>38002</v>
      </c>
      <c r="C83" s="94">
        <v>343</v>
      </c>
      <c r="D83" s="94">
        <v>0</v>
      </c>
      <c r="E83" s="94">
        <f t="shared" si="17"/>
        <v>343</v>
      </c>
      <c r="F83" s="95">
        <v>1.25</v>
      </c>
      <c r="G83" s="95">
        <f t="shared" si="18"/>
        <v>5</v>
      </c>
      <c r="H83" s="100">
        <f t="shared" si="21"/>
        <v>13.0725</v>
      </c>
      <c r="I83" s="100">
        <f t="shared" si="19"/>
        <v>26.238286479250334</v>
      </c>
      <c r="J83" s="100">
        <f t="shared" si="11"/>
        <v>9.5620577548288399E-2</v>
      </c>
      <c r="K83" s="100">
        <f t="shared" si="12"/>
        <v>26.333907056798623</v>
      </c>
      <c r="L83" s="101">
        <f t="shared" si="13"/>
        <v>80038.849800000011</v>
      </c>
      <c r="M83" s="101">
        <f t="shared" si="14"/>
        <v>2107735.6315662651</v>
      </c>
      <c r="N83" s="101">
        <f t="shared" si="20"/>
        <v>817379.87792139756</v>
      </c>
      <c r="O83" s="96">
        <v>0</v>
      </c>
      <c r="P83" s="101">
        <f t="shared" si="15"/>
        <v>2925115.5094876625</v>
      </c>
      <c r="Q83" s="101">
        <v>0</v>
      </c>
      <c r="R83" s="101">
        <f t="shared" si="16"/>
        <v>2925115.5094876625</v>
      </c>
      <c r="S83" s="82">
        <v>1259324</v>
      </c>
      <c r="T83" s="82">
        <v>113545.94</v>
      </c>
    </row>
    <row r="84" spans="1:20" ht="13.5" customHeight="1" x14ac:dyDescent="0.2">
      <c r="A84" s="97" t="s">
        <v>222</v>
      </c>
      <c r="B84" s="98">
        <v>38003</v>
      </c>
      <c r="C84" s="94">
        <v>164</v>
      </c>
      <c r="D84" s="94">
        <v>0</v>
      </c>
      <c r="E84" s="94">
        <f t="shared" si="17"/>
        <v>164</v>
      </c>
      <c r="F84" s="95">
        <v>0.25</v>
      </c>
      <c r="G84" s="95">
        <f t="shared" si="18"/>
        <v>1</v>
      </c>
      <c r="H84" s="100">
        <f t="shared" si="21"/>
        <v>12</v>
      </c>
      <c r="I84" s="100">
        <f t="shared" si="19"/>
        <v>13.666666666666666</v>
      </c>
      <c r="J84" s="100">
        <f t="shared" si="11"/>
        <v>2.0833333333333332E-2</v>
      </c>
      <c r="K84" s="100">
        <f t="shared" si="12"/>
        <v>13.6875</v>
      </c>
      <c r="L84" s="101">
        <f t="shared" si="13"/>
        <v>80038.849800000011</v>
      </c>
      <c r="M84" s="101">
        <f t="shared" si="14"/>
        <v>1095531.7566375001</v>
      </c>
      <c r="N84" s="101">
        <f t="shared" si="20"/>
        <v>424847.21522402251</v>
      </c>
      <c r="O84" s="96">
        <v>0</v>
      </c>
      <c r="P84" s="101">
        <f t="shared" si="15"/>
        <v>1520378.9718615226</v>
      </c>
      <c r="Q84" s="101">
        <v>0</v>
      </c>
      <c r="R84" s="101">
        <f t="shared" si="16"/>
        <v>1520378.9718615226</v>
      </c>
      <c r="S84" s="82">
        <v>818543</v>
      </c>
      <c r="T84" s="82">
        <v>77722.92</v>
      </c>
    </row>
    <row r="85" spans="1:20" ht="13.5" customHeight="1" x14ac:dyDescent="0.2">
      <c r="A85" s="97" t="s">
        <v>298</v>
      </c>
      <c r="B85" s="98">
        <v>39001</v>
      </c>
      <c r="C85" s="94">
        <v>547</v>
      </c>
      <c r="D85" s="94">
        <v>0</v>
      </c>
      <c r="E85" s="94">
        <f t="shared" si="17"/>
        <v>547</v>
      </c>
      <c r="F85" s="95">
        <v>8</v>
      </c>
      <c r="G85" s="95">
        <f t="shared" si="18"/>
        <v>32</v>
      </c>
      <c r="H85" s="100">
        <f t="shared" si="21"/>
        <v>14.602499999999999</v>
      </c>
      <c r="I85" s="100">
        <f t="shared" si="19"/>
        <v>37.459339154254408</v>
      </c>
      <c r="J85" s="100">
        <f t="shared" si="11"/>
        <v>0.54785139530902249</v>
      </c>
      <c r="K85" s="100">
        <f t="shared" si="12"/>
        <v>38.007190549563433</v>
      </c>
      <c r="L85" s="101">
        <f t="shared" si="13"/>
        <v>80038.849800000011</v>
      </c>
      <c r="M85" s="101">
        <f t="shared" si="14"/>
        <v>3042051.8157164874</v>
      </c>
      <c r="N85" s="101">
        <f t="shared" si="20"/>
        <v>1179707.6941348538</v>
      </c>
      <c r="O85" s="96">
        <v>0</v>
      </c>
      <c r="P85" s="101">
        <f t="shared" si="15"/>
        <v>4221759.5098513411</v>
      </c>
      <c r="Q85" s="101">
        <v>0</v>
      </c>
      <c r="R85" s="101">
        <f t="shared" si="16"/>
        <v>4221759.5098513411</v>
      </c>
      <c r="S85" s="82">
        <v>1603917</v>
      </c>
      <c r="T85" s="82">
        <v>312395.83999999997</v>
      </c>
    </row>
    <row r="86" spans="1:20" ht="13.5" customHeight="1" x14ac:dyDescent="0.2">
      <c r="A86" s="97" t="s">
        <v>229</v>
      </c>
      <c r="B86" s="98">
        <v>39002</v>
      </c>
      <c r="C86" s="94">
        <v>1172.18</v>
      </c>
      <c r="D86" s="94">
        <v>0.5</v>
      </c>
      <c r="E86" s="94">
        <f t="shared" si="17"/>
        <v>1172.68</v>
      </c>
      <c r="F86" s="95">
        <v>12.25</v>
      </c>
      <c r="G86" s="95">
        <f t="shared" si="18"/>
        <v>49</v>
      </c>
      <c r="H86" s="100">
        <f t="shared" si="21"/>
        <v>15</v>
      </c>
      <c r="I86" s="100">
        <f t="shared" si="19"/>
        <v>78.178666666666672</v>
      </c>
      <c r="J86" s="100">
        <f t="shared" si="11"/>
        <v>0.81666666666666665</v>
      </c>
      <c r="K86" s="100">
        <f t="shared" si="12"/>
        <v>78.995333333333335</v>
      </c>
      <c r="L86" s="101">
        <f t="shared" si="13"/>
        <v>80038.849800000011</v>
      </c>
      <c r="M86" s="101">
        <f t="shared" si="14"/>
        <v>6322695.619567601</v>
      </c>
      <c r="N86" s="101">
        <f t="shared" si="20"/>
        <v>2451941.3612683155</v>
      </c>
      <c r="O86" s="96">
        <v>0</v>
      </c>
      <c r="P86" s="101">
        <f t="shared" si="15"/>
        <v>8774636.9808359165</v>
      </c>
      <c r="Q86" s="101">
        <v>0</v>
      </c>
      <c r="R86" s="101">
        <f t="shared" si="16"/>
        <v>8774636.9808359165</v>
      </c>
      <c r="S86" s="82">
        <v>4583334</v>
      </c>
      <c r="T86" s="82">
        <v>309084.89</v>
      </c>
    </row>
    <row r="87" spans="1:20" ht="13.5" customHeight="1" x14ac:dyDescent="0.2">
      <c r="A87" s="97" t="s">
        <v>422</v>
      </c>
      <c r="B87" s="98">
        <v>39006</v>
      </c>
      <c r="C87" s="94">
        <v>274</v>
      </c>
      <c r="D87" s="94">
        <v>0</v>
      </c>
      <c r="E87" s="94">
        <f t="shared" si="17"/>
        <v>274</v>
      </c>
      <c r="F87" s="95">
        <v>6.75</v>
      </c>
      <c r="G87" s="95">
        <f t="shared" si="18"/>
        <v>27</v>
      </c>
      <c r="H87" s="100">
        <f t="shared" si="21"/>
        <v>12.555</v>
      </c>
      <c r="I87" s="100">
        <f t="shared" si="19"/>
        <v>21.823974512146556</v>
      </c>
      <c r="J87" s="100">
        <f t="shared" si="11"/>
        <v>0.5376344086021505</v>
      </c>
      <c r="K87" s="100">
        <f t="shared" si="12"/>
        <v>22.361608920748708</v>
      </c>
      <c r="L87" s="101">
        <f t="shared" si="13"/>
        <v>80038.849800000011</v>
      </c>
      <c r="M87" s="101">
        <f t="shared" si="14"/>
        <v>1789797.4576941461</v>
      </c>
      <c r="N87" s="101">
        <f t="shared" si="20"/>
        <v>694083.4540937898</v>
      </c>
      <c r="O87" s="96">
        <v>0</v>
      </c>
      <c r="P87" s="101">
        <f t="shared" si="15"/>
        <v>2483880.911787936</v>
      </c>
      <c r="Q87" s="101">
        <v>0</v>
      </c>
      <c r="R87" s="101">
        <f t="shared" si="16"/>
        <v>2483880.911787936</v>
      </c>
      <c r="S87" s="82">
        <v>926100</v>
      </c>
      <c r="T87" s="82">
        <v>118040.69</v>
      </c>
    </row>
    <row r="88" spans="1:20" ht="13.5" customHeight="1" x14ac:dyDescent="0.2">
      <c r="A88" s="97" t="s">
        <v>224</v>
      </c>
      <c r="B88" s="98">
        <v>40001</v>
      </c>
      <c r="C88" s="94">
        <v>637.78</v>
      </c>
      <c r="D88" s="94">
        <v>0.1</v>
      </c>
      <c r="E88" s="94">
        <f t="shared" si="17"/>
        <v>637.88</v>
      </c>
      <c r="F88" s="95">
        <v>1.25</v>
      </c>
      <c r="G88" s="95">
        <f t="shared" si="18"/>
        <v>5</v>
      </c>
      <c r="H88" s="100">
        <f t="shared" si="21"/>
        <v>15</v>
      </c>
      <c r="I88" s="100">
        <f t="shared" si="19"/>
        <v>42.525333333333336</v>
      </c>
      <c r="J88" s="100">
        <f t="shared" si="11"/>
        <v>8.3333333333333329E-2</v>
      </c>
      <c r="K88" s="100">
        <f t="shared" si="12"/>
        <v>42.608666666666672</v>
      </c>
      <c r="L88" s="101">
        <f t="shared" si="13"/>
        <v>80038.849800000011</v>
      </c>
      <c r="M88" s="101">
        <f t="shared" si="14"/>
        <v>3410348.6715116007</v>
      </c>
      <c r="N88" s="101">
        <f t="shared" si="20"/>
        <v>1322533.2148121987</v>
      </c>
      <c r="O88" s="96">
        <v>0</v>
      </c>
      <c r="P88" s="101">
        <f t="shared" si="15"/>
        <v>4732881.8863237994</v>
      </c>
      <c r="Q88" s="101">
        <v>0</v>
      </c>
      <c r="R88" s="101">
        <f t="shared" si="16"/>
        <v>4732881.8863237994</v>
      </c>
      <c r="S88" s="82">
        <v>8786393</v>
      </c>
      <c r="T88" s="82">
        <v>267697.55</v>
      </c>
    </row>
    <row r="89" spans="1:20" ht="13.5" customHeight="1" x14ac:dyDescent="0.2">
      <c r="A89" s="97" t="s">
        <v>265</v>
      </c>
      <c r="B89" s="98">
        <v>40002</v>
      </c>
      <c r="C89" s="94">
        <v>2403.75</v>
      </c>
      <c r="D89" s="94">
        <v>0</v>
      </c>
      <c r="E89" s="94">
        <f t="shared" si="17"/>
        <v>2403.75</v>
      </c>
      <c r="F89" s="95">
        <v>2.5</v>
      </c>
      <c r="G89" s="95">
        <f t="shared" si="18"/>
        <v>10</v>
      </c>
      <c r="H89" s="100">
        <f t="shared" si="21"/>
        <v>15</v>
      </c>
      <c r="I89" s="100">
        <f t="shared" si="19"/>
        <v>160.25</v>
      </c>
      <c r="J89" s="100">
        <f t="shared" si="11"/>
        <v>0.16666666666666666</v>
      </c>
      <c r="K89" s="100">
        <f t="shared" si="12"/>
        <v>160.41666666666666</v>
      </c>
      <c r="L89" s="101">
        <f t="shared" si="13"/>
        <v>80038.849800000011</v>
      </c>
      <c r="M89" s="101">
        <f t="shared" si="14"/>
        <v>12839565.488750001</v>
      </c>
      <c r="N89" s="101">
        <f t="shared" si="20"/>
        <v>4979183.4965372505</v>
      </c>
      <c r="O89" s="96">
        <v>0</v>
      </c>
      <c r="P89" s="101">
        <f t="shared" si="15"/>
        <v>17818748.985287253</v>
      </c>
      <c r="Q89" s="101">
        <v>0</v>
      </c>
      <c r="R89" s="101">
        <f t="shared" si="16"/>
        <v>17818748.985287253</v>
      </c>
      <c r="S89" s="82">
        <v>9477578</v>
      </c>
      <c r="T89" s="82">
        <v>652381.98</v>
      </c>
    </row>
    <row r="90" spans="1:20" ht="13.5" customHeight="1" x14ac:dyDescent="0.2">
      <c r="A90" s="97" t="s">
        <v>164</v>
      </c>
      <c r="B90" s="98">
        <v>41001</v>
      </c>
      <c r="C90" s="94">
        <v>896.73</v>
      </c>
      <c r="D90" s="94">
        <v>0</v>
      </c>
      <c r="E90" s="94">
        <f t="shared" si="17"/>
        <v>896.73</v>
      </c>
      <c r="F90" s="95">
        <v>1.5</v>
      </c>
      <c r="G90" s="95">
        <f t="shared" si="18"/>
        <v>6</v>
      </c>
      <c r="H90" s="100">
        <f t="shared" si="21"/>
        <v>15</v>
      </c>
      <c r="I90" s="100">
        <f t="shared" si="19"/>
        <v>59.782000000000004</v>
      </c>
      <c r="J90" s="100">
        <f t="shared" si="11"/>
        <v>0.1</v>
      </c>
      <c r="K90" s="100">
        <f t="shared" si="12"/>
        <v>59.882000000000005</v>
      </c>
      <c r="L90" s="101">
        <f t="shared" si="13"/>
        <v>80038.849800000011</v>
      </c>
      <c r="M90" s="101">
        <f t="shared" si="14"/>
        <v>4792886.4037236013</v>
      </c>
      <c r="N90" s="101">
        <f t="shared" si="20"/>
        <v>1858681.3473640124</v>
      </c>
      <c r="O90" s="96">
        <v>0</v>
      </c>
      <c r="P90" s="101">
        <f t="shared" si="15"/>
        <v>6651567.7510876134</v>
      </c>
      <c r="Q90" s="101">
        <v>0</v>
      </c>
      <c r="R90" s="101">
        <f t="shared" si="16"/>
        <v>6651567.7510876134</v>
      </c>
      <c r="S90" s="82">
        <v>3053253</v>
      </c>
      <c r="T90" s="82">
        <v>345387.74</v>
      </c>
    </row>
    <row r="91" spans="1:20" ht="13.5" customHeight="1" x14ac:dyDescent="0.2">
      <c r="A91" s="97" t="s">
        <v>206</v>
      </c>
      <c r="B91" s="98">
        <v>41002</v>
      </c>
      <c r="C91" s="94">
        <v>6191.44</v>
      </c>
      <c r="D91" s="94">
        <v>0</v>
      </c>
      <c r="E91" s="94">
        <f t="shared" si="17"/>
        <v>6191.44</v>
      </c>
      <c r="F91" s="95">
        <v>34</v>
      </c>
      <c r="G91" s="95">
        <f t="shared" si="18"/>
        <v>136</v>
      </c>
      <c r="H91" s="100">
        <f t="shared" si="21"/>
        <v>15</v>
      </c>
      <c r="I91" s="100">
        <f t="shared" si="19"/>
        <v>412.76266666666663</v>
      </c>
      <c r="J91" s="100">
        <f t="shared" si="11"/>
        <v>2.2666666666666666</v>
      </c>
      <c r="K91" s="100">
        <f t="shared" si="12"/>
        <v>415.02933333333328</v>
      </c>
      <c r="L91" s="101">
        <f t="shared" si="13"/>
        <v>80038.849800000011</v>
      </c>
      <c r="M91" s="101">
        <f t="shared" si="14"/>
        <v>33218470.473260801</v>
      </c>
      <c r="N91" s="101">
        <f t="shared" si="20"/>
        <v>12882122.849530539</v>
      </c>
      <c r="O91" s="96">
        <v>0</v>
      </c>
      <c r="P91" s="101">
        <f t="shared" si="15"/>
        <v>46100593.322791338</v>
      </c>
      <c r="Q91" s="101">
        <v>0</v>
      </c>
      <c r="R91" s="101">
        <f t="shared" si="16"/>
        <v>46100593.322791338</v>
      </c>
      <c r="S91" s="82">
        <v>19821736</v>
      </c>
      <c r="T91" s="82">
        <v>1300077.1400000001</v>
      </c>
    </row>
    <row r="92" spans="1:20" ht="13.5" customHeight="1" x14ac:dyDescent="0.2">
      <c r="A92" s="97" t="s">
        <v>226</v>
      </c>
      <c r="B92" s="98">
        <v>41004</v>
      </c>
      <c r="C92" s="94">
        <v>1125.97</v>
      </c>
      <c r="D92" s="94">
        <v>0</v>
      </c>
      <c r="E92" s="94">
        <f t="shared" si="17"/>
        <v>1125.97</v>
      </c>
      <c r="F92" s="95">
        <v>2.25</v>
      </c>
      <c r="G92" s="95">
        <f t="shared" si="18"/>
        <v>9</v>
      </c>
      <c r="H92" s="100">
        <f t="shared" si="21"/>
        <v>15</v>
      </c>
      <c r="I92" s="100">
        <f t="shared" si="19"/>
        <v>75.064666666666668</v>
      </c>
      <c r="J92" s="100">
        <f t="shared" si="11"/>
        <v>0.15</v>
      </c>
      <c r="K92" s="100">
        <f t="shared" si="12"/>
        <v>75.214666666666673</v>
      </c>
      <c r="L92" s="101">
        <f t="shared" si="13"/>
        <v>80038.849800000011</v>
      </c>
      <c r="M92" s="101">
        <f t="shared" si="14"/>
        <v>6020095.4080904014</v>
      </c>
      <c r="N92" s="101">
        <f t="shared" si="20"/>
        <v>2334592.9992574574</v>
      </c>
      <c r="O92" s="96">
        <v>0</v>
      </c>
      <c r="P92" s="101">
        <f t="shared" si="15"/>
        <v>8354688.4073478589</v>
      </c>
      <c r="Q92" s="101">
        <v>0</v>
      </c>
      <c r="R92" s="101">
        <f t="shared" si="16"/>
        <v>8354688.4073478589</v>
      </c>
      <c r="S92" s="82">
        <v>3266302</v>
      </c>
      <c r="T92" s="82">
        <v>472677.13</v>
      </c>
    </row>
    <row r="93" spans="1:20" ht="13.5" customHeight="1" x14ac:dyDescent="0.2">
      <c r="A93" s="97" t="s">
        <v>268</v>
      </c>
      <c r="B93" s="98">
        <v>41005</v>
      </c>
      <c r="C93" s="94">
        <v>2537.25</v>
      </c>
      <c r="D93" s="94">
        <v>0.1</v>
      </c>
      <c r="E93" s="94">
        <f t="shared" si="17"/>
        <v>2537.35</v>
      </c>
      <c r="F93" s="95">
        <v>17.75</v>
      </c>
      <c r="G93" s="95">
        <f t="shared" si="18"/>
        <v>71</v>
      </c>
      <c r="H93" s="100">
        <f t="shared" si="21"/>
        <v>15</v>
      </c>
      <c r="I93" s="100">
        <f t="shared" si="19"/>
        <v>169.15666666666667</v>
      </c>
      <c r="J93" s="100">
        <f t="shared" si="11"/>
        <v>1.1833333333333333</v>
      </c>
      <c r="K93" s="100">
        <f t="shared" si="12"/>
        <v>170.34</v>
      </c>
      <c r="L93" s="101">
        <f t="shared" si="13"/>
        <v>80038.849800000011</v>
      </c>
      <c r="M93" s="101">
        <f t="shared" si="14"/>
        <v>13633817.674932003</v>
      </c>
      <c r="N93" s="101">
        <f t="shared" si="20"/>
        <v>5287194.4943386307</v>
      </c>
      <c r="O93" s="96">
        <v>0</v>
      </c>
      <c r="P93" s="101">
        <f t="shared" si="15"/>
        <v>18921012.169270635</v>
      </c>
      <c r="Q93" s="101">
        <v>0</v>
      </c>
      <c r="R93" s="101">
        <f t="shared" si="16"/>
        <v>18921012.169270635</v>
      </c>
      <c r="S93" s="82">
        <v>5262825</v>
      </c>
      <c r="T93" s="82">
        <v>420751.97</v>
      </c>
    </row>
    <row r="94" spans="1:20" ht="13.5" customHeight="1" x14ac:dyDescent="0.2">
      <c r="A94" s="97" t="s">
        <v>228</v>
      </c>
      <c r="B94" s="98">
        <v>42001</v>
      </c>
      <c r="C94" s="94">
        <v>309</v>
      </c>
      <c r="D94" s="94">
        <v>0</v>
      </c>
      <c r="E94" s="94">
        <f t="shared" si="17"/>
        <v>309</v>
      </c>
      <c r="F94" s="95">
        <v>0</v>
      </c>
      <c r="G94" s="95">
        <f t="shared" si="18"/>
        <v>0</v>
      </c>
      <c r="H94" s="100">
        <f t="shared" si="21"/>
        <v>12.817499999999999</v>
      </c>
      <c r="I94" s="100">
        <f t="shared" si="19"/>
        <v>24.107665301345818</v>
      </c>
      <c r="J94" s="100">
        <f t="shared" si="11"/>
        <v>0</v>
      </c>
      <c r="K94" s="100">
        <f t="shared" si="12"/>
        <v>24.107665301345818</v>
      </c>
      <c r="L94" s="101">
        <f t="shared" si="13"/>
        <v>80038.849800000011</v>
      </c>
      <c r="M94" s="101">
        <f t="shared" si="14"/>
        <v>1929549.8020830899</v>
      </c>
      <c r="N94" s="101">
        <f t="shared" si="20"/>
        <v>748279.4132478222</v>
      </c>
      <c r="O94" s="96">
        <v>0</v>
      </c>
      <c r="P94" s="101">
        <f t="shared" si="15"/>
        <v>2677829.2153309123</v>
      </c>
      <c r="Q94" s="101">
        <v>0</v>
      </c>
      <c r="R94" s="101">
        <f t="shared" si="16"/>
        <v>2677829.2153309123</v>
      </c>
      <c r="S94" s="82">
        <v>1186655</v>
      </c>
      <c r="T94" s="82">
        <v>333888.69</v>
      </c>
    </row>
    <row r="95" spans="1:20" ht="13.5" customHeight="1" x14ac:dyDescent="0.2">
      <c r="A95" s="97" t="s">
        <v>163</v>
      </c>
      <c r="B95" s="98">
        <v>43001</v>
      </c>
      <c r="C95" s="94">
        <v>299.43</v>
      </c>
      <c r="D95" s="94">
        <v>0</v>
      </c>
      <c r="E95" s="94">
        <f t="shared" si="17"/>
        <v>299.43</v>
      </c>
      <c r="F95" s="95">
        <v>1</v>
      </c>
      <c r="G95" s="95">
        <f t="shared" si="18"/>
        <v>4</v>
      </c>
      <c r="H95" s="100">
        <f t="shared" si="21"/>
        <v>12.745725</v>
      </c>
      <c r="I95" s="100">
        <f t="shared" si="19"/>
        <v>23.492582807176525</v>
      </c>
      <c r="J95" s="100">
        <f t="shared" si="11"/>
        <v>7.8457678947254861E-2</v>
      </c>
      <c r="K95" s="100">
        <f t="shared" si="12"/>
        <v>23.571040486123781</v>
      </c>
      <c r="L95" s="101">
        <f t="shared" si="13"/>
        <v>80038.849800000011</v>
      </c>
      <c r="M95" s="101">
        <f t="shared" si="14"/>
        <v>1886598.9690985805</v>
      </c>
      <c r="N95" s="101">
        <f t="shared" si="20"/>
        <v>731623.08021642955</v>
      </c>
      <c r="O95" s="96">
        <v>0</v>
      </c>
      <c r="P95" s="101">
        <f t="shared" si="15"/>
        <v>2618222.0493150102</v>
      </c>
      <c r="Q95" s="101">
        <v>0</v>
      </c>
      <c r="R95" s="101">
        <f t="shared" si="16"/>
        <v>2618222.0493150102</v>
      </c>
      <c r="S95" s="82">
        <v>587555</v>
      </c>
      <c r="T95" s="82">
        <v>90233.97</v>
      </c>
    </row>
    <row r="96" spans="1:20" ht="13.5" customHeight="1" x14ac:dyDescent="0.2">
      <c r="A96" s="97" t="s">
        <v>240</v>
      </c>
      <c r="B96" s="98">
        <v>43002</v>
      </c>
      <c r="C96" s="94">
        <v>257</v>
      </c>
      <c r="D96" s="94">
        <v>0</v>
      </c>
      <c r="E96" s="94">
        <f t="shared" si="17"/>
        <v>257</v>
      </c>
      <c r="F96" s="95">
        <v>3.25</v>
      </c>
      <c r="G96" s="95">
        <f t="shared" si="18"/>
        <v>13</v>
      </c>
      <c r="H96" s="100">
        <f t="shared" si="21"/>
        <v>12.4275</v>
      </c>
      <c r="I96" s="100">
        <f t="shared" si="19"/>
        <v>20.679943673305171</v>
      </c>
      <c r="J96" s="100">
        <f t="shared" si="11"/>
        <v>0.26151679742506539</v>
      </c>
      <c r="K96" s="100">
        <f t="shared" si="12"/>
        <v>20.941460470730238</v>
      </c>
      <c r="L96" s="101">
        <f t="shared" si="13"/>
        <v>80038.849800000011</v>
      </c>
      <c r="M96" s="101">
        <f t="shared" si="14"/>
        <v>1676130.4092094151</v>
      </c>
      <c r="N96" s="101">
        <f t="shared" si="20"/>
        <v>650003.37269141118</v>
      </c>
      <c r="O96" s="96">
        <v>0</v>
      </c>
      <c r="P96" s="101">
        <f t="shared" si="15"/>
        <v>2326133.7819008264</v>
      </c>
      <c r="Q96" s="101">
        <v>0</v>
      </c>
      <c r="R96" s="101">
        <f t="shared" si="16"/>
        <v>2326133.7819008264</v>
      </c>
      <c r="S96" s="82">
        <v>509796</v>
      </c>
      <c r="T96" s="82">
        <v>103005.04000000001</v>
      </c>
    </row>
    <row r="97" spans="1:20" ht="13.5" customHeight="1" x14ac:dyDescent="0.2">
      <c r="A97" s="97" t="s">
        <v>231</v>
      </c>
      <c r="B97" s="98">
        <v>43007</v>
      </c>
      <c r="C97" s="94">
        <v>421.63</v>
      </c>
      <c r="D97" s="94">
        <v>0</v>
      </c>
      <c r="E97" s="94">
        <f t="shared" si="17"/>
        <v>421.63</v>
      </c>
      <c r="F97" s="95">
        <v>2.25</v>
      </c>
      <c r="G97" s="95">
        <f t="shared" si="18"/>
        <v>9</v>
      </c>
      <c r="H97" s="100">
        <f t="shared" si="21"/>
        <v>13.662224999999999</v>
      </c>
      <c r="I97" s="100">
        <f t="shared" si="19"/>
        <v>30.861005436522969</v>
      </c>
      <c r="J97" s="100">
        <f t="shared" si="11"/>
        <v>0.16468766983415953</v>
      </c>
      <c r="K97" s="100">
        <f t="shared" si="12"/>
        <v>31.025693106357128</v>
      </c>
      <c r="L97" s="101">
        <f t="shared" si="13"/>
        <v>80038.849800000011</v>
      </c>
      <c r="M97" s="101">
        <f t="shared" si="14"/>
        <v>2483260.7904806137</v>
      </c>
      <c r="N97" s="101">
        <f t="shared" si="20"/>
        <v>963008.53454838193</v>
      </c>
      <c r="O97" s="96">
        <v>0</v>
      </c>
      <c r="P97" s="101">
        <f t="shared" si="15"/>
        <v>3446269.3250289955</v>
      </c>
      <c r="Q97" s="101">
        <v>0</v>
      </c>
      <c r="R97" s="101">
        <f t="shared" si="16"/>
        <v>3446269.3250289955</v>
      </c>
      <c r="S97" s="82">
        <v>994897</v>
      </c>
      <c r="T97" s="82">
        <v>202756.28999999998</v>
      </c>
    </row>
    <row r="98" spans="1:20" ht="13.5" customHeight="1" x14ac:dyDescent="0.2">
      <c r="A98" s="97" t="s">
        <v>190</v>
      </c>
      <c r="B98" s="98">
        <v>44001</v>
      </c>
      <c r="C98" s="94">
        <v>154.19999999999999</v>
      </c>
      <c r="D98" s="94">
        <v>0</v>
      </c>
      <c r="E98" s="94">
        <f t="shared" si="17"/>
        <v>154.19999999999999</v>
      </c>
      <c r="F98" s="95">
        <v>0</v>
      </c>
      <c r="G98" s="95">
        <f t="shared" si="18"/>
        <v>0</v>
      </c>
      <c r="H98" s="100">
        <f t="shared" si="21"/>
        <v>12</v>
      </c>
      <c r="I98" s="100">
        <f t="shared" si="19"/>
        <v>12.85</v>
      </c>
      <c r="J98" s="100">
        <f t="shared" si="11"/>
        <v>0</v>
      </c>
      <c r="K98" s="100">
        <f t="shared" si="12"/>
        <v>12.85</v>
      </c>
      <c r="L98" s="101">
        <f t="shared" si="13"/>
        <v>80038.849800000011</v>
      </c>
      <c r="M98" s="101">
        <f t="shared" si="14"/>
        <v>1028499.2199300001</v>
      </c>
      <c r="N98" s="101">
        <f t="shared" si="20"/>
        <v>398851.99748885405</v>
      </c>
      <c r="O98" s="96">
        <v>0</v>
      </c>
      <c r="P98" s="101">
        <f t="shared" si="15"/>
        <v>1427351.2174188541</v>
      </c>
      <c r="Q98" s="101">
        <v>0</v>
      </c>
      <c r="R98" s="101">
        <f t="shared" si="16"/>
        <v>1427351.2174188541</v>
      </c>
      <c r="S98" s="82">
        <v>938033</v>
      </c>
      <c r="T98" s="82">
        <v>65829.510000000009</v>
      </c>
    </row>
    <row r="99" spans="1:20" ht="14.25" customHeight="1" x14ac:dyDescent="0.2">
      <c r="A99" s="97" t="s">
        <v>227</v>
      </c>
      <c r="B99" s="98">
        <v>44002</v>
      </c>
      <c r="C99" s="94">
        <v>195</v>
      </c>
      <c r="D99" s="94">
        <v>0</v>
      </c>
      <c r="E99" s="94">
        <f t="shared" si="17"/>
        <v>195</v>
      </c>
      <c r="F99" s="95">
        <v>6</v>
      </c>
      <c r="G99" s="95">
        <f t="shared" si="18"/>
        <v>24</v>
      </c>
      <c r="H99" s="100">
        <f t="shared" si="21"/>
        <v>12</v>
      </c>
      <c r="I99" s="100">
        <f t="shared" si="19"/>
        <v>16.25</v>
      </c>
      <c r="J99" s="100">
        <f t="shared" si="11"/>
        <v>0.5</v>
      </c>
      <c r="K99" s="100">
        <f t="shared" si="12"/>
        <v>16.75</v>
      </c>
      <c r="L99" s="101">
        <f t="shared" si="13"/>
        <v>80038.849800000011</v>
      </c>
      <c r="M99" s="101">
        <f t="shared" si="14"/>
        <v>1340650.7341500001</v>
      </c>
      <c r="N99" s="101">
        <f t="shared" si="20"/>
        <v>519904.35470337002</v>
      </c>
      <c r="O99" s="96">
        <v>0</v>
      </c>
      <c r="P99" s="101">
        <f t="shared" si="15"/>
        <v>1860555.0888533702</v>
      </c>
      <c r="Q99" s="101">
        <v>0</v>
      </c>
      <c r="R99" s="101">
        <f t="shared" si="16"/>
        <v>1860555.0888533702</v>
      </c>
      <c r="S99" s="82">
        <v>688063</v>
      </c>
      <c r="T99" s="82">
        <v>235243.15</v>
      </c>
    </row>
    <row r="100" spans="1:20" ht="13.5" customHeight="1" x14ac:dyDescent="0.2">
      <c r="A100" s="97" t="s">
        <v>362</v>
      </c>
      <c r="B100" s="98">
        <v>45004</v>
      </c>
      <c r="C100" s="94">
        <v>469.13</v>
      </c>
      <c r="D100" s="94">
        <v>0</v>
      </c>
      <c r="E100" s="94">
        <f t="shared" si="17"/>
        <v>469.13</v>
      </c>
      <c r="F100" s="95">
        <v>8.75</v>
      </c>
      <c r="G100" s="95">
        <f t="shared" si="18"/>
        <v>35</v>
      </c>
      <c r="H100" s="100">
        <f t="shared" si="21"/>
        <v>14.018475</v>
      </c>
      <c r="I100" s="100">
        <f t="shared" si="19"/>
        <v>33.465123702827874</v>
      </c>
      <c r="J100" s="100">
        <f t="shared" si="11"/>
        <v>0.62417631019065911</v>
      </c>
      <c r="K100" s="100">
        <f t="shared" si="12"/>
        <v>34.08930001301853</v>
      </c>
      <c r="L100" s="101">
        <f t="shared" si="13"/>
        <v>80038.849800000011</v>
      </c>
      <c r="M100" s="101">
        <f t="shared" si="14"/>
        <v>2728468.3635291285</v>
      </c>
      <c r="N100" s="101">
        <f t="shared" si="20"/>
        <v>1058100.0313765961</v>
      </c>
      <c r="O100" s="96">
        <v>0</v>
      </c>
      <c r="P100" s="101">
        <f t="shared" si="15"/>
        <v>3786568.3949057246</v>
      </c>
      <c r="Q100" s="101">
        <v>0</v>
      </c>
      <c r="R100" s="101">
        <f t="shared" si="16"/>
        <v>3786568.3949057246</v>
      </c>
      <c r="S100" s="82">
        <v>2079328</v>
      </c>
      <c r="T100" s="82">
        <v>300546.26</v>
      </c>
    </row>
    <row r="101" spans="1:20" ht="13.5" customHeight="1" x14ac:dyDescent="0.2">
      <c r="A101" s="97" t="s">
        <v>223</v>
      </c>
      <c r="B101" s="98">
        <v>45005</v>
      </c>
      <c r="C101" s="94">
        <v>246.5</v>
      </c>
      <c r="D101" s="94">
        <v>0.1</v>
      </c>
      <c r="E101" s="94">
        <f t="shared" si="17"/>
        <v>246.6</v>
      </c>
      <c r="F101" s="95">
        <v>6.5</v>
      </c>
      <c r="G101" s="95">
        <f t="shared" si="18"/>
        <v>26</v>
      </c>
      <c r="H101" s="100">
        <f t="shared" si="21"/>
        <v>12.349499999999999</v>
      </c>
      <c r="I101" s="100">
        <f t="shared" si="19"/>
        <v>19.968419774079923</v>
      </c>
      <c r="J101" s="100">
        <f t="shared" si="11"/>
        <v>0.5263370986679623</v>
      </c>
      <c r="K101" s="100">
        <f t="shared" si="12"/>
        <v>20.494756872747885</v>
      </c>
      <c r="L101" s="101">
        <f t="shared" si="13"/>
        <v>80038.849800000011</v>
      </c>
      <c r="M101" s="101">
        <f t="shared" si="14"/>
        <v>1640376.767025386</v>
      </c>
      <c r="N101" s="101">
        <f t="shared" si="20"/>
        <v>636138.11025244463</v>
      </c>
      <c r="O101" s="96">
        <v>0</v>
      </c>
      <c r="P101" s="101">
        <f t="shared" si="15"/>
        <v>2276514.8772778306</v>
      </c>
      <c r="Q101" s="101">
        <v>0</v>
      </c>
      <c r="R101" s="101">
        <f t="shared" si="16"/>
        <v>2276514.8772778306</v>
      </c>
      <c r="S101" s="82">
        <v>967795</v>
      </c>
      <c r="T101" s="82">
        <v>102320.2</v>
      </c>
    </row>
    <row r="102" spans="1:20" ht="13.5" customHeight="1" x14ac:dyDescent="0.2">
      <c r="A102" s="97" t="s">
        <v>234</v>
      </c>
      <c r="B102" s="98">
        <v>46001</v>
      </c>
      <c r="C102" s="94">
        <v>3028.77</v>
      </c>
      <c r="D102" s="94">
        <v>1.2000000000000002</v>
      </c>
      <c r="E102" s="94">
        <f t="shared" si="17"/>
        <v>3029.97</v>
      </c>
      <c r="F102" s="95">
        <v>1.5</v>
      </c>
      <c r="G102" s="95">
        <f t="shared" si="18"/>
        <v>6</v>
      </c>
      <c r="H102" s="100">
        <f t="shared" si="21"/>
        <v>15</v>
      </c>
      <c r="I102" s="100">
        <f t="shared" si="19"/>
        <v>201.99799999999999</v>
      </c>
      <c r="J102" s="100">
        <f t="shared" si="11"/>
        <v>0.1</v>
      </c>
      <c r="K102" s="100">
        <f t="shared" si="12"/>
        <v>202.09799999999998</v>
      </c>
      <c r="L102" s="101">
        <f t="shared" si="13"/>
        <v>80038.849800000011</v>
      </c>
      <c r="M102" s="101">
        <f t="shared" si="14"/>
        <v>16175691.466880402</v>
      </c>
      <c r="N102" s="101">
        <f t="shared" si="20"/>
        <v>6272933.1508562192</v>
      </c>
      <c r="O102" s="96">
        <v>0</v>
      </c>
      <c r="P102" s="101">
        <f t="shared" si="15"/>
        <v>22448624.617736623</v>
      </c>
      <c r="Q102" s="101">
        <v>0</v>
      </c>
      <c r="R102" s="101">
        <f t="shared" si="16"/>
        <v>22448624.617736623</v>
      </c>
      <c r="S102" s="82">
        <v>9868004</v>
      </c>
      <c r="T102" s="82">
        <v>717070.38</v>
      </c>
    </row>
    <row r="103" spans="1:20" ht="13.5" customHeight="1" x14ac:dyDescent="0.2">
      <c r="A103" s="97" t="s">
        <v>191</v>
      </c>
      <c r="B103" s="98">
        <v>46002</v>
      </c>
      <c r="C103" s="94">
        <v>181</v>
      </c>
      <c r="D103" s="94">
        <v>0.1</v>
      </c>
      <c r="E103" s="94">
        <f t="shared" si="17"/>
        <v>181.1</v>
      </c>
      <c r="F103" s="95">
        <v>0</v>
      </c>
      <c r="G103" s="95">
        <f t="shared" si="18"/>
        <v>0</v>
      </c>
      <c r="H103" s="100">
        <f t="shared" si="21"/>
        <v>12</v>
      </c>
      <c r="I103" s="100">
        <f t="shared" si="19"/>
        <v>15.091666666666667</v>
      </c>
      <c r="J103" s="100">
        <f t="shared" si="11"/>
        <v>0</v>
      </c>
      <c r="K103" s="100">
        <f t="shared" si="12"/>
        <v>15.091666666666667</v>
      </c>
      <c r="L103" s="101">
        <f t="shared" si="13"/>
        <v>80038.849800000011</v>
      </c>
      <c r="M103" s="101">
        <f t="shared" si="14"/>
        <v>1207919.6415650002</v>
      </c>
      <c r="N103" s="101">
        <f t="shared" si="20"/>
        <v>468431.23699890706</v>
      </c>
      <c r="O103" s="96">
        <v>0</v>
      </c>
      <c r="P103" s="101">
        <f t="shared" si="15"/>
        <v>1676350.8785639072</v>
      </c>
      <c r="Q103" s="101">
        <v>0</v>
      </c>
      <c r="R103" s="101">
        <f t="shared" si="16"/>
        <v>1676350.8785639072</v>
      </c>
      <c r="S103" s="82">
        <v>320546</v>
      </c>
      <c r="T103" s="82">
        <v>60834.900000000009</v>
      </c>
    </row>
    <row r="104" spans="1:20" ht="13.5" customHeight="1" x14ac:dyDescent="0.2">
      <c r="A104" s="97" t="s">
        <v>285</v>
      </c>
      <c r="B104" s="98">
        <v>47001</v>
      </c>
      <c r="C104" s="94">
        <v>402</v>
      </c>
      <c r="D104" s="94">
        <v>0</v>
      </c>
      <c r="E104" s="94">
        <f t="shared" si="17"/>
        <v>402</v>
      </c>
      <c r="F104" s="95">
        <v>0</v>
      </c>
      <c r="G104" s="95">
        <f t="shared" si="18"/>
        <v>0</v>
      </c>
      <c r="H104" s="100">
        <f t="shared" si="21"/>
        <v>13.515000000000001</v>
      </c>
      <c r="I104" s="100">
        <f t="shared" si="19"/>
        <v>29.744728079911209</v>
      </c>
      <c r="J104" s="100">
        <f t="shared" si="11"/>
        <v>0</v>
      </c>
      <c r="K104" s="100">
        <f t="shared" si="12"/>
        <v>29.744728079911209</v>
      </c>
      <c r="L104" s="101">
        <f t="shared" si="13"/>
        <v>80038.849800000011</v>
      </c>
      <c r="M104" s="101">
        <f t="shared" si="14"/>
        <v>2380733.823129856</v>
      </c>
      <c r="N104" s="101">
        <f t="shared" si="20"/>
        <v>923248.57660975808</v>
      </c>
      <c r="O104" s="96">
        <v>0</v>
      </c>
      <c r="P104" s="101">
        <f t="shared" si="15"/>
        <v>3303982.3997396142</v>
      </c>
      <c r="Q104" s="101">
        <v>0</v>
      </c>
      <c r="R104" s="101">
        <f t="shared" si="16"/>
        <v>3303982.3997396142</v>
      </c>
      <c r="S104" s="82">
        <v>365031</v>
      </c>
      <c r="T104" s="82">
        <v>93279.88</v>
      </c>
    </row>
    <row r="105" spans="1:20" ht="13.5" customHeight="1" x14ac:dyDescent="0.2">
      <c r="A105" s="97" t="s">
        <v>214</v>
      </c>
      <c r="B105" s="98">
        <v>48003</v>
      </c>
      <c r="C105" s="94">
        <v>337</v>
      </c>
      <c r="D105" s="94">
        <v>0</v>
      </c>
      <c r="E105" s="94">
        <f t="shared" si="17"/>
        <v>337</v>
      </c>
      <c r="F105" s="95">
        <v>1.25</v>
      </c>
      <c r="G105" s="95">
        <f t="shared" si="18"/>
        <v>5</v>
      </c>
      <c r="H105" s="100">
        <f t="shared" si="21"/>
        <v>13.0275</v>
      </c>
      <c r="I105" s="100">
        <f t="shared" si="19"/>
        <v>25.868355402034158</v>
      </c>
      <c r="J105" s="100">
        <f t="shared" si="11"/>
        <v>9.595087315294569E-2</v>
      </c>
      <c r="K105" s="100">
        <f t="shared" si="12"/>
        <v>25.964306275187102</v>
      </c>
      <c r="L105" s="101">
        <f t="shared" si="13"/>
        <v>80038.849800000011</v>
      </c>
      <c r="M105" s="101">
        <f t="shared" si="14"/>
        <v>2078153.2101208982</v>
      </c>
      <c r="N105" s="101">
        <f t="shared" si="20"/>
        <v>805907.81488488428</v>
      </c>
      <c r="O105" s="96">
        <v>0</v>
      </c>
      <c r="P105" s="101">
        <f t="shared" si="15"/>
        <v>2884061.0250057825</v>
      </c>
      <c r="Q105" s="101">
        <v>0</v>
      </c>
      <c r="R105" s="101">
        <f t="shared" si="16"/>
        <v>2884061.0250057825</v>
      </c>
      <c r="S105" s="82">
        <v>1592563</v>
      </c>
      <c r="T105" s="82">
        <v>458572.20999999996</v>
      </c>
    </row>
    <row r="106" spans="1:20" ht="13.5" customHeight="1" x14ac:dyDescent="0.2">
      <c r="A106" s="97" t="s">
        <v>150</v>
      </c>
      <c r="B106" s="98">
        <v>49001</v>
      </c>
      <c r="C106" s="94">
        <v>546.25</v>
      </c>
      <c r="D106" s="94">
        <v>0</v>
      </c>
      <c r="E106" s="94">
        <f t="shared" si="17"/>
        <v>546.25</v>
      </c>
      <c r="F106" s="95">
        <v>2.25</v>
      </c>
      <c r="G106" s="95">
        <f t="shared" si="18"/>
        <v>9</v>
      </c>
      <c r="H106" s="100">
        <f t="shared" si="21"/>
        <v>14.596875000000001</v>
      </c>
      <c r="I106" s="100">
        <f t="shared" si="19"/>
        <v>37.422393491757653</v>
      </c>
      <c r="J106" s="100">
        <f t="shared" si="11"/>
        <v>0.15414258188824662</v>
      </c>
      <c r="K106" s="100">
        <f t="shared" si="12"/>
        <v>37.576536073645897</v>
      </c>
      <c r="L106" s="101">
        <f t="shared" si="13"/>
        <v>80038.849800000011</v>
      </c>
      <c r="M106" s="101">
        <f t="shared" si="14"/>
        <v>3007582.7268028259</v>
      </c>
      <c r="N106" s="101">
        <f t="shared" si="20"/>
        <v>1166340.5814541359</v>
      </c>
      <c r="O106" s="96">
        <v>0</v>
      </c>
      <c r="P106" s="101">
        <f t="shared" si="15"/>
        <v>4173923.3082569619</v>
      </c>
      <c r="Q106" s="101">
        <v>0</v>
      </c>
      <c r="R106" s="101">
        <f t="shared" si="16"/>
        <v>4173923.3082569619</v>
      </c>
      <c r="S106" s="82">
        <v>1017565</v>
      </c>
      <c r="T106" s="82">
        <v>170099.86</v>
      </c>
    </row>
    <row r="107" spans="1:20" ht="13.5" customHeight="1" x14ac:dyDescent="0.2">
      <c r="A107" s="97" t="s">
        <v>158</v>
      </c>
      <c r="B107" s="98">
        <v>49002</v>
      </c>
      <c r="C107" s="94">
        <v>5131.53</v>
      </c>
      <c r="D107" s="94">
        <v>0.2</v>
      </c>
      <c r="E107" s="94">
        <f t="shared" si="17"/>
        <v>5131.7299999999996</v>
      </c>
      <c r="F107" s="95">
        <v>28.25</v>
      </c>
      <c r="G107" s="95">
        <f t="shared" si="18"/>
        <v>113</v>
      </c>
      <c r="H107" s="100">
        <f t="shared" si="21"/>
        <v>15</v>
      </c>
      <c r="I107" s="100">
        <f t="shared" si="19"/>
        <v>342.1153333333333</v>
      </c>
      <c r="J107" s="100">
        <f t="shared" si="11"/>
        <v>1.8833333333333333</v>
      </c>
      <c r="K107" s="100">
        <f t="shared" si="12"/>
        <v>343.99866666666662</v>
      </c>
      <c r="L107" s="101">
        <f t="shared" si="13"/>
        <v>80038.849800000011</v>
      </c>
      <c r="M107" s="101">
        <f t="shared" si="14"/>
        <v>27533257.612733599</v>
      </c>
      <c r="N107" s="101">
        <f t="shared" si="20"/>
        <v>10677397.302218089</v>
      </c>
      <c r="O107" s="96">
        <v>0</v>
      </c>
      <c r="P107" s="101">
        <f t="shared" si="15"/>
        <v>38210654.91495169</v>
      </c>
      <c r="Q107" s="101">
        <v>0</v>
      </c>
      <c r="R107" s="101">
        <f t="shared" si="16"/>
        <v>38210654.91495169</v>
      </c>
      <c r="S107" s="82">
        <v>13101413</v>
      </c>
      <c r="T107" s="82">
        <v>1922223.08</v>
      </c>
    </row>
    <row r="108" spans="1:20" ht="13.5" customHeight="1" x14ac:dyDescent="0.2">
      <c r="A108" s="97" t="s">
        <v>176</v>
      </c>
      <c r="B108" s="98">
        <v>49003</v>
      </c>
      <c r="C108" s="94">
        <v>975.57</v>
      </c>
      <c r="D108" s="94">
        <v>0</v>
      </c>
      <c r="E108" s="94">
        <f t="shared" si="17"/>
        <v>975.57</v>
      </c>
      <c r="F108" s="95">
        <v>4.25</v>
      </c>
      <c r="G108" s="95">
        <f t="shared" si="18"/>
        <v>17</v>
      </c>
      <c r="H108" s="100">
        <f t="shared" si="21"/>
        <v>15</v>
      </c>
      <c r="I108" s="100">
        <f t="shared" si="19"/>
        <v>65.037999999999997</v>
      </c>
      <c r="J108" s="100">
        <f t="shared" si="11"/>
        <v>0.28333333333333333</v>
      </c>
      <c r="K108" s="100">
        <f t="shared" si="12"/>
        <v>65.321333333333328</v>
      </c>
      <c r="L108" s="101">
        <f t="shared" si="13"/>
        <v>80038.849800000011</v>
      </c>
      <c r="M108" s="101">
        <f t="shared" si="14"/>
        <v>5228244.3874024004</v>
      </c>
      <c r="N108" s="101">
        <f t="shared" si="20"/>
        <v>2027513.1734346508</v>
      </c>
      <c r="O108" s="96">
        <v>0</v>
      </c>
      <c r="P108" s="101">
        <f t="shared" si="15"/>
        <v>7255757.5608370509</v>
      </c>
      <c r="Q108" s="101">
        <v>0</v>
      </c>
      <c r="R108" s="101">
        <f t="shared" si="16"/>
        <v>7255757.5608370509</v>
      </c>
      <c r="S108" s="82">
        <v>2557301</v>
      </c>
      <c r="T108" s="82">
        <v>497995.17</v>
      </c>
    </row>
    <row r="109" spans="1:20" ht="13.5" customHeight="1" x14ac:dyDescent="0.2">
      <c r="A109" s="97" t="s">
        <v>197</v>
      </c>
      <c r="B109" s="98">
        <v>49004</v>
      </c>
      <c r="C109" s="94">
        <v>475.81</v>
      </c>
      <c r="D109" s="94">
        <v>0</v>
      </c>
      <c r="E109" s="94">
        <f t="shared" si="17"/>
        <v>475.81</v>
      </c>
      <c r="F109" s="95">
        <v>0.25</v>
      </c>
      <c r="G109" s="95">
        <f t="shared" si="18"/>
        <v>1</v>
      </c>
      <c r="H109" s="100">
        <f t="shared" si="21"/>
        <v>14.068574999999999</v>
      </c>
      <c r="I109" s="100">
        <f t="shared" si="19"/>
        <v>33.820767206344641</v>
      </c>
      <c r="J109" s="100">
        <f t="shared" si="11"/>
        <v>1.7770101094105126E-2</v>
      </c>
      <c r="K109" s="100">
        <f t="shared" si="12"/>
        <v>33.838537307438749</v>
      </c>
      <c r="L109" s="101">
        <f t="shared" si="13"/>
        <v>80038.849800000011</v>
      </c>
      <c r="M109" s="101">
        <f t="shared" si="14"/>
        <v>2708397.6050017867</v>
      </c>
      <c r="N109" s="101">
        <f t="shared" si="20"/>
        <v>1050316.5912196927</v>
      </c>
      <c r="O109" s="96">
        <v>0</v>
      </c>
      <c r="P109" s="101">
        <f t="shared" si="15"/>
        <v>3758714.1962214792</v>
      </c>
      <c r="Q109" s="101">
        <v>0</v>
      </c>
      <c r="R109" s="101">
        <f t="shared" si="16"/>
        <v>3758714.1962214792</v>
      </c>
      <c r="S109" s="82">
        <v>1205857</v>
      </c>
      <c r="T109" s="82">
        <v>258144.47999999998</v>
      </c>
    </row>
    <row r="110" spans="1:20" ht="13.5" customHeight="1" x14ac:dyDescent="0.2">
      <c r="A110" s="97" t="s">
        <v>260</v>
      </c>
      <c r="B110" s="98">
        <v>49005</v>
      </c>
      <c r="C110" s="94">
        <v>24330.61</v>
      </c>
      <c r="D110" s="94">
        <v>1.2000000000000002</v>
      </c>
      <c r="E110" s="94">
        <f t="shared" si="17"/>
        <v>24331.81</v>
      </c>
      <c r="F110" s="95">
        <v>524.25</v>
      </c>
      <c r="G110" s="95">
        <f t="shared" si="18"/>
        <v>2097</v>
      </c>
      <c r="H110" s="100">
        <f t="shared" si="21"/>
        <v>15</v>
      </c>
      <c r="I110" s="100">
        <f t="shared" si="19"/>
        <v>1622.1206666666667</v>
      </c>
      <c r="J110" s="100">
        <f t="shared" si="11"/>
        <v>34.950000000000003</v>
      </c>
      <c r="K110" s="100">
        <f t="shared" si="12"/>
        <v>1657.0706666666667</v>
      </c>
      <c r="L110" s="101">
        <f t="shared" si="13"/>
        <v>80038.849800000011</v>
      </c>
      <c r="M110" s="101">
        <f t="shared" si="14"/>
        <v>132630030.19731922</v>
      </c>
      <c r="N110" s="101">
        <f t="shared" si="20"/>
        <v>51433925.710520394</v>
      </c>
      <c r="O110" s="96">
        <v>103279</v>
      </c>
      <c r="P110" s="101">
        <f t="shared" si="15"/>
        <v>184167234.90783963</v>
      </c>
      <c r="Q110" s="101">
        <v>0</v>
      </c>
      <c r="R110" s="101">
        <f t="shared" si="16"/>
        <v>184167234.90783963</v>
      </c>
      <c r="S110" s="82">
        <v>75396861</v>
      </c>
      <c r="T110" s="82">
        <v>7934657.4600000009</v>
      </c>
    </row>
    <row r="111" spans="1:20" ht="13.5" customHeight="1" x14ac:dyDescent="0.2">
      <c r="A111" s="97" t="s">
        <v>272</v>
      </c>
      <c r="B111" s="98">
        <v>49006</v>
      </c>
      <c r="C111" s="94">
        <v>956</v>
      </c>
      <c r="D111" s="94">
        <v>0</v>
      </c>
      <c r="E111" s="94">
        <f t="shared" si="17"/>
        <v>956</v>
      </c>
      <c r="F111" s="95">
        <v>8.25</v>
      </c>
      <c r="G111" s="95">
        <f t="shared" si="18"/>
        <v>33</v>
      </c>
      <c r="H111" s="100">
        <f t="shared" si="21"/>
        <v>15</v>
      </c>
      <c r="I111" s="100">
        <f t="shared" si="19"/>
        <v>63.733333333333334</v>
      </c>
      <c r="J111" s="100">
        <f t="shared" si="11"/>
        <v>0.55000000000000004</v>
      </c>
      <c r="K111" s="100">
        <f t="shared" si="12"/>
        <v>64.283333333333331</v>
      </c>
      <c r="L111" s="101">
        <f t="shared" si="13"/>
        <v>80038.849800000011</v>
      </c>
      <c r="M111" s="101">
        <f t="shared" si="14"/>
        <v>5145164.0613100007</v>
      </c>
      <c r="N111" s="101">
        <f t="shared" si="20"/>
        <v>1995294.6229760181</v>
      </c>
      <c r="O111" s="96">
        <v>0</v>
      </c>
      <c r="P111" s="101">
        <f t="shared" si="15"/>
        <v>7140458.6842860188</v>
      </c>
      <c r="Q111" s="101">
        <v>0</v>
      </c>
      <c r="R111" s="101">
        <f t="shared" si="16"/>
        <v>7140458.6842860188</v>
      </c>
      <c r="S111" s="82">
        <v>4203295</v>
      </c>
      <c r="T111" s="82">
        <v>634838.26</v>
      </c>
    </row>
    <row r="112" spans="1:20" ht="13.5" customHeight="1" x14ac:dyDescent="0.2">
      <c r="A112" s="97" t="s">
        <v>283</v>
      </c>
      <c r="B112" s="98">
        <v>49007</v>
      </c>
      <c r="C112" s="94">
        <v>1431.08</v>
      </c>
      <c r="D112" s="94">
        <v>0.1</v>
      </c>
      <c r="E112" s="94">
        <f t="shared" si="17"/>
        <v>1431.1799999999998</v>
      </c>
      <c r="F112" s="95">
        <v>1.75</v>
      </c>
      <c r="G112" s="95">
        <f t="shared" si="18"/>
        <v>7</v>
      </c>
      <c r="H112" s="100">
        <f t="shared" si="21"/>
        <v>15</v>
      </c>
      <c r="I112" s="100">
        <f t="shared" si="19"/>
        <v>95.411999999999992</v>
      </c>
      <c r="J112" s="100">
        <f t="shared" si="11"/>
        <v>0.11666666666666667</v>
      </c>
      <c r="K112" s="100">
        <f t="shared" si="12"/>
        <v>95.528666666666652</v>
      </c>
      <c r="L112" s="101">
        <f t="shared" si="13"/>
        <v>80038.849800000011</v>
      </c>
      <c r="M112" s="101">
        <f t="shared" si="14"/>
        <v>7646004.6029276</v>
      </c>
      <c r="N112" s="101">
        <f t="shared" si="20"/>
        <v>2965120.585015323</v>
      </c>
      <c r="O112" s="96">
        <v>0</v>
      </c>
      <c r="P112" s="101">
        <f t="shared" si="15"/>
        <v>10611125.187942922</v>
      </c>
      <c r="Q112" s="101">
        <v>0</v>
      </c>
      <c r="R112" s="101">
        <f t="shared" si="16"/>
        <v>10611125.187942922</v>
      </c>
      <c r="S112" s="82">
        <v>3513146</v>
      </c>
      <c r="T112" s="82">
        <v>700387.23</v>
      </c>
    </row>
    <row r="113" spans="1:20" ht="13.5" customHeight="1" x14ac:dyDescent="0.2">
      <c r="A113" s="97" t="s">
        <v>193</v>
      </c>
      <c r="B113" s="98">
        <v>50003</v>
      </c>
      <c r="C113" s="94">
        <v>730.14</v>
      </c>
      <c r="D113" s="94">
        <v>0.4</v>
      </c>
      <c r="E113" s="94">
        <f t="shared" si="17"/>
        <v>730.54</v>
      </c>
      <c r="F113" s="95">
        <v>24.5</v>
      </c>
      <c r="G113" s="95">
        <f t="shared" si="18"/>
        <v>98</v>
      </c>
      <c r="H113" s="100">
        <f t="shared" si="21"/>
        <v>15</v>
      </c>
      <c r="I113" s="100">
        <f t="shared" si="19"/>
        <v>48.702666666666666</v>
      </c>
      <c r="J113" s="100">
        <f t="shared" si="11"/>
        <v>1.6333333333333333</v>
      </c>
      <c r="K113" s="100">
        <f t="shared" si="12"/>
        <v>50.335999999999999</v>
      </c>
      <c r="L113" s="101">
        <f t="shared" si="13"/>
        <v>80038.849800000011</v>
      </c>
      <c r="M113" s="101">
        <f t="shared" si="14"/>
        <v>4028835.5435328004</v>
      </c>
      <c r="N113" s="101">
        <f t="shared" si="20"/>
        <v>1562382.4237820199</v>
      </c>
      <c r="O113" s="96">
        <v>0</v>
      </c>
      <c r="P113" s="101">
        <f t="shared" si="15"/>
        <v>5591217.9673148207</v>
      </c>
      <c r="Q113" s="101">
        <v>0</v>
      </c>
      <c r="R113" s="101">
        <f t="shared" si="16"/>
        <v>5591217.9673148207</v>
      </c>
      <c r="S113" s="82">
        <v>1283385</v>
      </c>
      <c r="T113" s="82">
        <v>222260.75</v>
      </c>
    </row>
    <row r="114" spans="1:20" ht="13.5" customHeight="1" x14ac:dyDescent="0.2">
      <c r="A114" s="97" t="s">
        <v>170</v>
      </c>
      <c r="B114" s="98">
        <v>50005</v>
      </c>
      <c r="C114" s="94">
        <v>331</v>
      </c>
      <c r="D114" s="94">
        <v>0.2</v>
      </c>
      <c r="E114" s="94">
        <f t="shared" si="17"/>
        <v>331.2</v>
      </c>
      <c r="F114" s="95">
        <v>3.25</v>
      </c>
      <c r="G114" s="95">
        <f t="shared" si="18"/>
        <v>13</v>
      </c>
      <c r="H114" s="100">
        <f t="shared" si="21"/>
        <v>12.984</v>
      </c>
      <c r="I114" s="100">
        <f t="shared" si="19"/>
        <v>25.508317929759702</v>
      </c>
      <c r="J114" s="100">
        <f t="shared" si="11"/>
        <v>0.25030807147258166</v>
      </c>
      <c r="K114" s="100">
        <f t="shared" si="12"/>
        <v>25.758626001232283</v>
      </c>
      <c r="L114" s="101">
        <f t="shared" si="13"/>
        <v>80038.849800000011</v>
      </c>
      <c r="M114" s="101">
        <f t="shared" si="14"/>
        <v>2061690.7975670055</v>
      </c>
      <c r="N114" s="101">
        <f t="shared" si="20"/>
        <v>799523.69129648467</v>
      </c>
      <c r="O114" s="96">
        <v>0</v>
      </c>
      <c r="P114" s="101">
        <f t="shared" si="15"/>
        <v>2861214.4888634901</v>
      </c>
      <c r="Q114" s="101">
        <v>0</v>
      </c>
      <c r="R114" s="101">
        <f t="shared" si="16"/>
        <v>2861214.4888634901</v>
      </c>
      <c r="S114" s="82">
        <v>701423</v>
      </c>
      <c r="T114" s="82">
        <v>122498.99</v>
      </c>
    </row>
    <row r="115" spans="1:20" ht="13.5" customHeight="1" x14ac:dyDescent="0.2">
      <c r="A115" s="97" t="s">
        <v>180</v>
      </c>
      <c r="B115" s="98">
        <v>51001</v>
      </c>
      <c r="C115" s="94">
        <v>2775.27</v>
      </c>
      <c r="D115" s="94">
        <v>0</v>
      </c>
      <c r="E115" s="94">
        <f t="shared" si="17"/>
        <v>2775.27</v>
      </c>
      <c r="F115" s="95">
        <v>3.25</v>
      </c>
      <c r="G115" s="95">
        <f t="shared" si="18"/>
        <v>13</v>
      </c>
      <c r="H115" s="100">
        <f t="shared" si="21"/>
        <v>15</v>
      </c>
      <c r="I115" s="100">
        <f t="shared" si="19"/>
        <v>185.018</v>
      </c>
      <c r="J115" s="100">
        <f t="shared" si="11"/>
        <v>0.21666666666666667</v>
      </c>
      <c r="K115" s="100">
        <f t="shared" si="12"/>
        <v>185.23466666666667</v>
      </c>
      <c r="L115" s="101">
        <f t="shared" si="13"/>
        <v>80038.849800000011</v>
      </c>
      <c r="M115" s="101">
        <f t="shared" si="14"/>
        <v>14825969.663086401</v>
      </c>
      <c r="N115" s="101">
        <f t="shared" si="20"/>
        <v>5749511.0353449062</v>
      </c>
      <c r="O115" s="96">
        <v>0</v>
      </c>
      <c r="P115" s="101">
        <f t="shared" si="15"/>
        <v>20575480.698431306</v>
      </c>
      <c r="Q115" s="101">
        <v>0</v>
      </c>
      <c r="R115" s="101">
        <f t="shared" si="16"/>
        <v>20575480.698431306</v>
      </c>
      <c r="S115" s="82">
        <v>3816554</v>
      </c>
      <c r="T115" s="82">
        <v>409329.19999999995</v>
      </c>
    </row>
    <row r="116" spans="1:20" ht="13.5" customHeight="1" x14ac:dyDescent="0.2">
      <c r="A116" s="97" t="s">
        <v>210</v>
      </c>
      <c r="B116" s="98">
        <v>51002</v>
      </c>
      <c r="C116" s="94">
        <v>507.4</v>
      </c>
      <c r="D116" s="94">
        <v>0</v>
      </c>
      <c r="E116" s="94">
        <f t="shared" si="17"/>
        <v>507.4</v>
      </c>
      <c r="F116" s="95">
        <v>2.75</v>
      </c>
      <c r="G116" s="95">
        <f t="shared" si="18"/>
        <v>11</v>
      </c>
      <c r="H116" s="100">
        <f t="shared" si="21"/>
        <v>14.3055</v>
      </c>
      <c r="I116" s="100">
        <f t="shared" si="19"/>
        <v>35.468875607283913</v>
      </c>
      <c r="J116" s="100">
        <f t="shared" si="11"/>
        <v>0.19223375624759709</v>
      </c>
      <c r="K116" s="100">
        <f t="shared" si="12"/>
        <v>35.661109363531509</v>
      </c>
      <c r="L116" s="101">
        <f t="shared" si="13"/>
        <v>80038.849800000011</v>
      </c>
      <c r="M116" s="101">
        <f t="shared" si="14"/>
        <v>2854274.1760490723</v>
      </c>
      <c r="N116" s="101">
        <f t="shared" si="20"/>
        <v>1106887.5254718303</v>
      </c>
      <c r="O116" s="96">
        <v>0</v>
      </c>
      <c r="P116" s="101">
        <f t="shared" si="15"/>
        <v>3961161.7015209026</v>
      </c>
      <c r="Q116" s="101">
        <v>0</v>
      </c>
      <c r="R116" s="101">
        <f t="shared" si="16"/>
        <v>3961161.7015209026</v>
      </c>
      <c r="S116" s="82">
        <v>4375424</v>
      </c>
      <c r="T116" s="82">
        <v>174081.46999999997</v>
      </c>
    </row>
    <row r="117" spans="1:20" ht="13.5" customHeight="1" x14ac:dyDescent="0.2">
      <c r="A117" s="97" t="s">
        <v>242</v>
      </c>
      <c r="B117" s="98">
        <v>51003</v>
      </c>
      <c r="C117" s="94">
        <v>280.08</v>
      </c>
      <c r="D117" s="94">
        <v>0</v>
      </c>
      <c r="E117" s="94">
        <f t="shared" si="17"/>
        <v>280.08</v>
      </c>
      <c r="F117" s="95">
        <v>0</v>
      </c>
      <c r="G117" s="95">
        <f t="shared" si="18"/>
        <v>0</v>
      </c>
      <c r="H117" s="100">
        <f t="shared" si="21"/>
        <v>12.6006</v>
      </c>
      <c r="I117" s="100">
        <f t="shared" si="19"/>
        <v>22.227512975572591</v>
      </c>
      <c r="J117" s="100">
        <f t="shared" si="11"/>
        <v>0</v>
      </c>
      <c r="K117" s="100">
        <f t="shared" si="12"/>
        <v>22.227512975572591</v>
      </c>
      <c r="L117" s="101">
        <f t="shared" si="13"/>
        <v>80038.849800000011</v>
      </c>
      <c r="M117" s="101">
        <f t="shared" si="14"/>
        <v>1779064.5724794059</v>
      </c>
      <c r="N117" s="101">
        <f t="shared" si="20"/>
        <v>689921.24120751361</v>
      </c>
      <c r="O117" s="96">
        <v>0</v>
      </c>
      <c r="P117" s="101">
        <f t="shared" si="15"/>
        <v>2468985.8136869194</v>
      </c>
      <c r="Q117" s="101">
        <v>0</v>
      </c>
      <c r="R117" s="101">
        <f t="shared" si="16"/>
        <v>2468985.8136869194</v>
      </c>
      <c r="S117" s="82">
        <v>446982</v>
      </c>
      <c r="T117" s="82">
        <v>76516.53</v>
      </c>
    </row>
    <row r="118" spans="1:20" ht="13.5" customHeight="1" x14ac:dyDescent="0.2">
      <c r="A118" s="97" t="s">
        <v>331</v>
      </c>
      <c r="B118" s="98">
        <v>51004</v>
      </c>
      <c r="C118" s="94">
        <v>12194.82</v>
      </c>
      <c r="D118" s="94">
        <v>0.4</v>
      </c>
      <c r="E118" s="94">
        <f t="shared" si="17"/>
        <v>12195.22</v>
      </c>
      <c r="F118" s="95">
        <v>30</v>
      </c>
      <c r="G118" s="95">
        <f t="shared" si="18"/>
        <v>120</v>
      </c>
      <c r="H118" s="100">
        <f t="shared" si="21"/>
        <v>15</v>
      </c>
      <c r="I118" s="100">
        <f t="shared" si="19"/>
        <v>813.01466666666659</v>
      </c>
      <c r="J118" s="100">
        <f t="shared" si="11"/>
        <v>2</v>
      </c>
      <c r="K118" s="100">
        <f t="shared" si="12"/>
        <v>815.01466666666659</v>
      </c>
      <c r="L118" s="101">
        <f t="shared" si="13"/>
        <v>80038.849800000011</v>
      </c>
      <c r="M118" s="101">
        <f t="shared" si="14"/>
        <v>65232836.490130402</v>
      </c>
      <c r="N118" s="101">
        <f t="shared" si="20"/>
        <v>25297293.990872569</v>
      </c>
      <c r="O118" s="96">
        <v>86679</v>
      </c>
      <c r="P118" s="101">
        <f t="shared" si="15"/>
        <v>90616809.481002972</v>
      </c>
      <c r="Q118" s="101">
        <v>0</v>
      </c>
      <c r="R118" s="101">
        <f t="shared" si="16"/>
        <v>90616809.481002972</v>
      </c>
      <c r="S118" s="82">
        <v>50971060</v>
      </c>
      <c r="T118" s="82">
        <v>3033299.36</v>
      </c>
    </row>
    <row r="119" spans="1:20" ht="13.5" customHeight="1" x14ac:dyDescent="0.2">
      <c r="A119" s="97" t="s">
        <v>276</v>
      </c>
      <c r="B119" s="98">
        <v>51005</v>
      </c>
      <c r="C119" s="94">
        <v>273.88</v>
      </c>
      <c r="D119" s="94">
        <v>0</v>
      </c>
      <c r="E119" s="94">
        <f t="shared" si="17"/>
        <v>273.88</v>
      </c>
      <c r="F119" s="95">
        <v>0</v>
      </c>
      <c r="G119" s="95">
        <f t="shared" si="18"/>
        <v>0</v>
      </c>
      <c r="H119" s="100">
        <f t="shared" si="21"/>
        <v>12.5541</v>
      </c>
      <c r="I119" s="100">
        <f t="shared" si="19"/>
        <v>21.815980436670092</v>
      </c>
      <c r="J119" s="100">
        <f t="shared" si="11"/>
        <v>0</v>
      </c>
      <c r="K119" s="100">
        <f t="shared" si="12"/>
        <v>21.815980436670092</v>
      </c>
      <c r="L119" s="101">
        <f t="shared" si="13"/>
        <v>80038.849800000011</v>
      </c>
      <c r="M119" s="101">
        <f t="shared" si="14"/>
        <v>1746125.981410376</v>
      </c>
      <c r="N119" s="101">
        <f t="shared" si="20"/>
        <v>677147.65559094376</v>
      </c>
      <c r="O119" s="96">
        <v>0</v>
      </c>
      <c r="P119" s="101">
        <f t="shared" si="15"/>
        <v>2423273.6370013198</v>
      </c>
      <c r="Q119" s="101">
        <v>0</v>
      </c>
      <c r="R119" s="101">
        <f t="shared" si="16"/>
        <v>2423273.6370013198</v>
      </c>
      <c r="S119" s="82">
        <v>795649</v>
      </c>
      <c r="T119" s="82">
        <v>144777.69</v>
      </c>
    </row>
    <row r="120" spans="1:20" ht="13.5" customHeight="1" x14ac:dyDescent="0.2">
      <c r="A120" s="97" t="s">
        <v>155</v>
      </c>
      <c r="B120" s="98">
        <v>52001</v>
      </c>
      <c r="C120" s="94">
        <v>135</v>
      </c>
      <c r="D120" s="94">
        <v>0.4</v>
      </c>
      <c r="E120" s="94">
        <f t="shared" si="17"/>
        <v>135.4</v>
      </c>
      <c r="F120" s="95">
        <v>0</v>
      </c>
      <c r="G120" s="95">
        <f t="shared" si="18"/>
        <v>0</v>
      </c>
      <c r="H120" s="100">
        <f t="shared" si="21"/>
        <v>12</v>
      </c>
      <c r="I120" s="100">
        <f t="shared" si="19"/>
        <v>11.283333333333333</v>
      </c>
      <c r="J120" s="100">
        <f t="shared" si="11"/>
        <v>0</v>
      </c>
      <c r="K120" s="100">
        <f t="shared" si="12"/>
        <v>11.283333333333333</v>
      </c>
      <c r="L120" s="101">
        <f t="shared" si="13"/>
        <v>80038.849800000011</v>
      </c>
      <c r="M120" s="101">
        <f t="shared" si="14"/>
        <v>903105.02191000013</v>
      </c>
      <c r="N120" s="101">
        <f t="shared" si="20"/>
        <v>350224.12749669806</v>
      </c>
      <c r="O120" s="96">
        <v>0</v>
      </c>
      <c r="P120" s="101">
        <f t="shared" si="15"/>
        <v>1253329.1494066981</v>
      </c>
      <c r="Q120" s="101">
        <v>0</v>
      </c>
      <c r="R120" s="101">
        <f t="shared" si="16"/>
        <v>1253329.1494066981</v>
      </c>
      <c r="S120" s="82">
        <v>526825</v>
      </c>
      <c r="T120" s="82">
        <v>127434.23000000001</v>
      </c>
    </row>
    <row r="121" spans="1:20" ht="13.5" customHeight="1" x14ac:dyDescent="0.2">
      <c r="A121" s="97" t="s">
        <v>225</v>
      </c>
      <c r="B121" s="98">
        <v>52004</v>
      </c>
      <c r="C121" s="94">
        <v>283.81</v>
      </c>
      <c r="D121" s="94">
        <v>0</v>
      </c>
      <c r="E121" s="94">
        <f t="shared" si="17"/>
        <v>283.81</v>
      </c>
      <c r="F121" s="95">
        <v>0</v>
      </c>
      <c r="G121" s="95">
        <f t="shared" si="18"/>
        <v>0</v>
      </c>
      <c r="H121" s="100">
        <f t="shared" si="21"/>
        <v>12.628575</v>
      </c>
      <c r="I121" s="100">
        <f t="shared" si="19"/>
        <v>22.473636178270311</v>
      </c>
      <c r="J121" s="100">
        <f t="shared" si="11"/>
        <v>0</v>
      </c>
      <c r="K121" s="100">
        <f t="shared" si="12"/>
        <v>22.473636178270311</v>
      </c>
      <c r="L121" s="101">
        <f t="shared" si="13"/>
        <v>80038.849800000011</v>
      </c>
      <c r="M121" s="101">
        <f t="shared" si="14"/>
        <v>1798763.9905324236</v>
      </c>
      <c r="N121" s="101">
        <f t="shared" si="20"/>
        <v>697560.6755284738</v>
      </c>
      <c r="O121" s="96">
        <v>0</v>
      </c>
      <c r="P121" s="101">
        <f t="shared" si="15"/>
        <v>2496324.6660608975</v>
      </c>
      <c r="Q121" s="101">
        <v>0</v>
      </c>
      <c r="R121" s="101">
        <f t="shared" si="16"/>
        <v>2496324.6660608975</v>
      </c>
      <c r="S121" s="82">
        <v>966872</v>
      </c>
      <c r="T121" s="82">
        <v>208794.74000000002</v>
      </c>
    </row>
    <row r="122" spans="1:20" ht="13.5" customHeight="1" x14ac:dyDescent="0.2">
      <c r="A122" s="97" t="s">
        <v>199</v>
      </c>
      <c r="B122" s="98">
        <v>53001</v>
      </c>
      <c r="C122" s="94">
        <v>215</v>
      </c>
      <c r="D122" s="94">
        <v>0</v>
      </c>
      <c r="E122" s="94">
        <f t="shared" si="17"/>
        <v>215</v>
      </c>
      <c r="F122" s="95">
        <v>0.75</v>
      </c>
      <c r="G122" s="95">
        <f t="shared" si="18"/>
        <v>3</v>
      </c>
      <c r="H122" s="100">
        <f t="shared" si="21"/>
        <v>12.112500000000001</v>
      </c>
      <c r="I122" s="100">
        <f t="shared" si="19"/>
        <v>17.750257997936014</v>
      </c>
      <c r="J122" s="100">
        <f t="shared" si="11"/>
        <v>6.1919504643962842E-2</v>
      </c>
      <c r="K122" s="100">
        <f t="shared" si="12"/>
        <v>17.812177502579978</v>
      </c>
      <c r="L122" s="101">
        <f t="shared" si="13"/>
        <v>80038.849800000011</v>
      </c>
      <c r="M122" s="101">
        <f t="shared" si="14"/>
        <v>1425666.1997399381</v>
      </c>
      <c r="N122" s="101">
        <f t="shared" si="20"/>
        <v>552873.35225914803</v>
      </c>
      <c r="O122" s="96">
        <v>0</v>
      </c>
      <c r="P122" s="101">
        <f t="shared" si="15"/>
        <v>1978539.551999086</v>
      </c>
      <c r="Q122" s="101">
        <v>0</v>
      </c>
      <c r="R122" s="101">
        <f t="shared" si="16"/>
        <v>1978539.551999086</v>
      </c>
      <c r="S122" s="82">
        <v>744063</v>
      </c>
      <c r="T122" s="82">
        <v>137776.16</v>
      </c>
    </row>
    <row r="123" spans="1:20" ht="13.5" customHeight="1" x14ac:dyDescent="0.2">
      <c r="A123" s="97" t="s">
        <v>213</v>
      </c>
      <c r="B123" s="98">
        <v>53002</v>
      </c>
      <c r="C123" s="94">
        <v>113</v>
      </c>
      <c r="D123" s="94">
        <v>0</v>
      </c>
      <c r="E123" s="94">
        <f t="shared" si="17"/>
        <v>113</v>
      </c>
      <c r="F123" s="95">
        <v>0.5</v>
      </c>
      <c r="G123" s="95">
        <f t="shared" si="18"/>
        <v>2</v>
      </c>
      <c r="H123" s="100">
        <f t="shared" si="21"/>
        <v>12</v>
      </c>
      <c r="I123" s="100">
        <f t="shared" si="19"/>
        <v>9.4166666666666661</v>
      </c>
      <c r="J123" s="100">
        <f t="shared" si="11"/>
        <v>4.1666666666666664E-2</v>
      </c>
      <c r="K123" s="100">
        <f t="shared" si="12"/>
        <v>9.4583333333333321</v>
      </c>
      <c r="L123" s="101">
        <f t="shared" si="13"/>
        <v>80038.849800000011</v>
      </c>
      <c r="M123" s="101">
        <f t="shared" si="14"/>
        <v>757034.121025</v>
      </c>
      <c r="N123" s="101">
        <f t="shared" si="20"/>
        <v>293577.83213349496</v>
      </c>
      <c r="O123" s="96">
        <v>0</v>
      </c>
      <c r="P123" s="101">
        <f t="shared" si="15"/>
        <v>1050611.953158495</v>
      </c>
      <c r="Q123" s="101">
        <v>769652.39312500006</v>
      </c>
      <c r="R123" s="101">
        <f t="shared" si="16"/>
        <v>769652.39312500006</v>
      </c>
      <c r="S123" s="82">
        <v>1037762</v>
      </c>
      <c r="T123" s="82">
        <v>121719.31</v>
      </c>
    </row>
    <row r="124" spans="1:20" ht="13.5" customHeight="1" x14ac:dyDescent="0.2">
      <c r="A124" s="97" t="s">
        <v>262</v>
      </c>
      <c r="B124" s="98">
        <v>54002</v>
      </c>
      <c r="C124" s="94">
        <v>954.15</v>
      </c>
      <c r="D124" s="94">
        <v>0.2</v>
      </c>
      <c r="E124" s="94">
        <f t="shared" si="17"/>
        <v>954.35</v>
      </c>
      <c r="F124" s="95">
        <v>5.25</v>
      </c>
      <c r="G124" s="95">
        <f t="shared" si="18"/>
        <v>21</v>
      </c>
      <c r="H124" s="100">
        <f t="shared" si="21"/>
        <v>15</v>
      </c>
      <c r="I124" s="100">
        <f t="shared" si="19"/>
        <v>63.623333333333335</v>
      </c>
      <c r="J124" s="100">
        <f t="shared" si="11"/>
        <v>0.35</v>
      </c>
      <c r="K124" s="100">
        <f t="shared" si="12"/>
        <v>63.973333333333336</v>
      </c>
      <c r="L124" s="101">
        <f t="shared" si="13"/>
        <v>80038.849800000011</v>
      </c>
      <c r="M124" s="101">
        <f t="shared" si="14"/>
        <v>5120352.017872001</v>
      </c>
      <c r="N124" s="101">
        <f t="shared" si="20"/>
        <v>1985672.512530762</v>
      </c>
      <c r="O124" s="96">
        <v>0</v>
      </c>
      <c r="P124" s="101">
        <f t="shared" si="15"/>
        <v>7106024.5304027628</v>
      </c>
      <c r="Q124" s="101">
        <v>0</v>
      </c>
      <c r="R124" s="101">
        <f t="shared" si="16"/>
        <v>7106024.5304027628</v>
      </c>
      <c r="S124" s="82">
        <v>2281637</v>
      </c>
      <c r="T124" s="82">
        <v>763961.77</v>
      </c>
    </row>
    <row r="125" spans="1:20" ht="13.5" customHeight="1" x14ac:dyDescent="0.2">
      <c r="A125" s="97" t="s">
        <v>255</v>
      </c>
      <c r="B125" s="98">
        <v>54004</v>
      </c>
      <c r="C125" s="94">
        <v>225</v>
      </c>
      <c r="D125" s="94">
        <v>0</v>
      </c>
      <c r="E125" s="94">
        <f t="shared" si="17"/>
        <v>225</v>
      </c>
      <c r="F125" s="95">
        <v>5.75</v>
      </c>
      <c r="G125" s="95">
        <f t="shared" si="18"/>
        <v>23</v>
      </c>
      <c r="H125" s="100">
        <f t="shared" si="21"/>
        <v>12.1875</v>
      </c>
      <c r="I125" s="100">
        <f t="shared" si="19"/>
        <v>18.46153846153846</v>
      </c>
      <c r="J125" s="100">
        <f t="shared" si="11"/>
        <v>0.47179487179487178</v>
      </c>
      <c r="K125" s="100">
        <f t="shared" si="12"/>
        <v>18.93333333333333</v>
      </c>
      <c r="L125" s="101">
        <f t="shared" si="13"/>
        <v>80038.849800000011</v>
      </c>
      <c r="M125" s="101">
        <f t="shared" si="14"/>
        <v>1515402.22288</v>
      </c>
      <c r="N125" s="101">
        <f t="shared" si="20"/>
        <v>587672.98203286401</v>
      </c>
      <c r="O125" s="96">
        <v>0</v>
      </c>
      <c r="P125" s="101">
        <f t="shared" si="15"/>
        <v>2103075.2049128641</v>
      </c>
      <c r="Q125" s="101">
        <v>0</v>
      </c>
      <c r="R125" s="101">
        <f t="shared" si="16"/>
        <v>2103075.2049128641</v>
      </c>
      <c r="S125" s="82">
        <v>481184</v>
      </c>
      <c r="T125" s="82">
        <v>91710.010000000009</v>
      </c>
    </row>
    <row r="126" spans="1:20" ht="13.5" customHeight="1" x14ac:dyDescent="0.2">
      <c r="A126" s="97" t="s">
        <v>267</v>
      </c>
      <c r="B126" s="98">
        <v>54006</v>
      </c>
      <c r="C126" s="94">
        <v>172</v>
      </c>
      <c r="D126" s="94">
        <v>0</v>
      </c>
      <c r="E126" s="94">
        <f t="shared" si="17"/>
        <v>172</v>
      </c>
      <c r="F126" s="95">
        <v>1.5</v>
      </c>
      <c r="G126" s="95">
        <f t="shared" si="18"/>
        <v>6</v>
      </c>
      <c r="H126" s="100">
        <f t="shared" si="21"/>
        <v>12</v>
      </c>
      <c r="I126" s="100">
        <f t="shared" si="19"/>
        <v>14.333333333333334</v>
      </c>
      <c r="J126" s="100">
        <f t="shared" si="11"/>
        <v>0.125</v>
      </c>
      <c r="K126" s="100">
        <f t="shared" si="12"/>
        <v>14.458333333333334</v>
      </c>
      <c r="L126" s="101">
        <f t="shared" si="13"/>
        <v>80038.849800000011</v>
      </c>
      <c r="M126" s="101">
        <f t="shared" si="14"/>
        <v>1157228.3700250003</v>
      </c>
      <c r="N126" s="101">
        <f t="shared" si="20"/>
        <v>448773.16189569508</v>
      </c>
      <c r="O126" s="96">
        <v>0</v>
      </c>
      <c r="P126" s="101">
        <f t="shared" si="15"/>
        <v>1606001.5319206954</v>
      </c>
      <c r="Q126" s="101">
        <v>0</v>
      </c>
      <c r="R126" s="101">
        <f t="shared" si="16"/>
        <v>1606001.5319206954</v>
      </c>
      <c r="S126" s="82">
        <v>365537</v>
      </c>
      <c r="T126" s="82">
        <v>88616.040000000037</v>
      </c>
    </row>
    <row r="127" spans="1:20" ht="13.5" customHeight="1" x14ac:dyDescent="0.2">
      <c r="A127" s="97" t="s">
        <v>287</v>
      </c>
      <c r="B127" s="98">
        <v>54007</v>
      </c>
      <c r="C127" s="94">
        <v>221.43</v>
      </c>
      <c r="D127" s="94">
        <v>0</v>
      </c>
      <c r="E127" s="94">
        <f t="shared" si="17"/>
        <v>221.43</v>
      </c>
      <c r="F127" s="95">
        <v>0.5</v>
      </c>
      <c r="G127" s="95">
        <f t="shared" si="18"/>
        <v>2</v>
      </c>
      <c r="H127" s="100">
        <f t="shared" si="21"/>
        <v>12.160724999999999</v>
      </c>
      <c r="I127" s="100">
        <f t="shared" si="19"/>
        <v>18.20861831839796</v>
      </c>
      <c r="J127" s="100">
        <f t="shared" si="11"/>
        <v>4.1115969648191211E-2</v>
      </c>
      <c r="K127" s="100">
        <f t="shared" si="12"/>
        <v>18.249734288046152</v>
      </c>
      <c r="L127" s="101">
        <f t="shared" si="13"/>
        <v>80038.849800000011</v>
      </c>
      <c r="M127" s="101">
        <f t="shared" si="14"/>
        <v>1460687.7415708362</v>
      </c>
      <c r="N127" s="101">
        <f t="shared" si="20"/>
        <v>566454.70618117019</v>
      </c>
      <c r="O127" s="96">
        <v>0</v>
      </c>
      <c r="P127" s="101">
        <f t="shared" si="15"/>
        <v>2027142.4477520064</v>
      </c>
      <c r="Q127" s="101">
        <v>0</v>
      </c>
      <c r="R127" s="101">
        <f t="shared" si="16"/>
        <v>2027142.4477520064</v>
      </c>
      <c r="S127" s="82">
        <v>713335</v>
      </c>
      <c r="T127" s="82">
        <v>131192.79</v>
      </c>
    </row>
    <row r="128" spans="1:20" ht="13.5" customHeight="1" x14ac:dyDescent="0.2">
      <c r="A128" s="97" t="s">
        <v>290</v>
      </c>
      <c r="B128" s="98">
        <v>55004</v>
      </c>
      <c r="C128" s="94">
        <v>252</v>
      </c>
      <c r="D128" s="94">
        <v>0</v>
      </c>
      <c r="E128" s="94">
        <f t="shared" si="17"/>
        <v>252</v>
      </c>
      <c r="F128" s="95">
        <v>0.25</v>
      </c>
      <c r="G128" s="95">
        <f t="shared" si="18"/>
        <v>1</v>
      </c>
      <c r="H128" s="100">
        <f t="shared" si="21"/>
        <v>12.39</v>
      </c>
      <c r="I128" s="100">
        <f t="shared" si="19"/>
        <v>20.338983050847457</v>
      </c>
      <c r="J128" s="100">
        <f t="shared" si="11"/>
        <v>2.0177562550443905E-2</v>
      </c>
      <c r="K128" s="100">
        <f t="shared" si="12"/>
        <v>20.359160613397901</v>
      </c>
      <c r="L128" s="101">
        <f t="shared" si="13"/>
        <v>80038.849800000011</v>
      </c>
      <c r="M128" s="101">
        <f t="shared" si="14"/>
        <v>1629523.7983898306</v>
      </c>
      <c r="N128" s="101">
        <f t="shared" si="20"/>
        <v>631929.32901557628</v>
      </c>
      <c r="O128" s="96">
        <v>0</v>
      </c>
      <c r="P128" s="101">
        <f t="shared" si="15"/>
        <v>2261453.1274054069</v>
      </c>
      <c r="Q128" s="101">
        <v>0</v>
      </c>
      <c r="R128" s="101">
        <f t="shared" si="16"/>
        <v>2261453.1274054069</v>
      </c>
      <c r="S128" s="82">
        <v>559471</v>
      </c>
      <c r="T128" s="82">
        <v>67794.86</v>
      </c>
    </row>
    <row r="129" spans="1:20" ht="13.5" customHeight="1" x14ac:dyDescent="0.2">
      <c r="A129" s="97" t="s">
        <v>257</v>
      </c>
      <c r="B129" s="98">
        <v>55005</v>
      </c>
      <c r="C129" s="94">
        <v>205</v>
      </c>
      <c r="D129" s="94">
        <v>0</v>
      </c>
      <c r="E129" s="94">
        <f t="shared" si="17"/>
        <v>205</v>
      </c>
      <c r="F129" s="95">
        <v>5</v>
      </c>
      <c r="G129" s="95">
        <f t="shared" si="18"/>
        <v>20</v>
      </c>
      <c r="H129" s="100">
        <f t="shared" si="21"/>
        <v>12.0375</v>
      </c>
      <c r="I129" s="100">
        <f t="shared" si="19"/>
        <v>17.030114226375908</v>
      </c>
      <c r="J129" s="100">
        <f t="shared" si="11"/>
        <v>0.4153686396677051</v>
      </c>
      <c r="K129" s="100">
        <f t="shared" si="12"/>
        <v>17.445482866043612</v>
      </c>
      <c r="L129" s="101">
        <f t="shared" si="13"/>
        <v>80038.849800000011</v>
      </c>
      <c r="M129" s="101">
        <f t="shared" si="14"/>
        <v>1396316.3828037384</v>
      </c>
      <c r="N129" s="101">
        <f t="shared" si="20"/>
        <v>541491.49325128971</v>
      </c>
      <c r="O129" s="96">
        <v>0</v>
      </c>
      <c r="P129" s="101">
        <f t="shared" si="15"/>
        <v>1937807.8760550281</v>
      </c>
      <c r="Q129" s="101">
        <v>0</v>
      </c>
      <c r="R129" s="101">
        <f t="shared" si="16"/>
        <v>1937807.8760550281</v>
      </c>
      <c r="S129" s="82">
        <v>788878</v>
      </c>
      <c r="T129" s="82">
        <v>75540.89</v>
      </c>
    </row>
    <row r="130" spans="1:20" ht="13.5" customHeight="1" x14ac:dyDescent="0.2">
      <c r="A130" s="97" t="s">
        <v>179</v>
      </c>
      <c r="B130" s="98">
        <v>56002</v>
      </c>
      <c r="C130" s="94">
        <v>138</v>
      </c>
      <c r="D130" s="94">
        <v>0</v>
      </c>
      <c r="E130" s="94">
        <f t="shared" si="17"/>
        <v>138</v>
      </c>
      <c r="F130" s="95">
        <v>4.25</v>
      </c>
      <c r="G130" s="95">
        <f t="shared" si="18"/>
        <v>17</v>
      </c>
      <c r="H130" s="100">
        <f t="shared" si="21"/>
        <v>12</v>
      </c>
      <c r="I130" s="100">
        <f t="shared" si="19"/>
        <v>11.5</v>
      </c>
      <c r="J130" s="100">
        <f t="shared" si="11"/>
        <v>0.35416666666666669</v>
      </c>
      <c r="K130" s="100">
        <f t="shared" si="12"/>
        <v>11.854166666666666</v>
      </c>
      <c r="L130" s="101">
        <f t="shared" si="13"/>
        <v>80038.849800000011</v>
      </c>
      <c r="M130" s="101">
        <f t="shared" si="14"/>
        <v>948793.86533750012</v>
      </c>
      <c r="N130" s="101">
        <f t="shared" si="20"/>
        <v>367942.26097788254</v>
      </c>
      <c r="O130" s="96">
        <v>0</v>
      </c>
      <c r="P130" s="101">
        <f t="shared" si="15"/>
        <v>1316736.1263153828</v>
      </c>
      <c r="Q130" s="101">
        <v>0</v>
      </c>
      <c r="R130" s="101">
        <f t="shared" si="16"/>
        <v>1316736.1263153828</v>
      </c>
      <c r="S130" s="82">
        <v>814990</v>
      </c>
      <c r="T130" s="82">
        <v>102206.88</v>
      </c>
    </row>
    <row r="131" spans="1:20" ht="13.5" customHeight="1" x14ac:dyDescent="0.2">
      <c r="A131" s="97" t="s">
        <v>254</v>
      </c>
      <c r="B131" s="98">
        <v>56004</v>
      </c>
      <c r="C131" s="94">
        <v>499.45</v>
      </c>
      <c r="D131" s="94">
        <v>0</v>
      </c>
      <c r="E131" s="94">
        <f t="shared" si="17"/>
        <v>499.45</v>
      </c>
      <c r="F131" s="95">
        <v>1.5</v>
      </c>
      <c r="G131" s="95">
        <f t="shared" si="18"/>
        <v>6</v>
      </c>
      <c r="H131" s="100">
        <f t="shared" si="21"/>
        <v>14.245875</v>
      </c>
      <c r="I131" s="100">
        <f t="shared" si="19"/>
        <v>35.059271543516985</v>
      </c>
      <c r="J131" s="100">
        <f t="shared" si="11"/>
        <v>0.10529363763194609</v>
      </c>
      <c r="K131" s="100">
        <f t="shared" si="12"/>
        <v>35.16456518114893</v>
      </c>
      <c r="L131" s="101">
        <f t="shared" si="13"/>
        <v>80038.849800000011</v>
      </c>
      <c r="M131" s="101">
        <f t="shared" si="14"/>
        <v>2814531.3508162894</v>
      </c>
      <c r="N131" s="101">
        <f t="shared" si="20"/>
        <v>1091475.2578465571</v>
      </c>
      <c r="O131" s="96">
        <v>0</v>
      </c>
      <c r="P131" s="101">
        <f t="shared" si="15"/>
        <v>3906006.6086628465</v>
      </c>
      <c r="Q131" s="101">
        <v>0</v>
      </c>
      <c r="R131" s="101">
        <f t="shared" si="16"/>
        <v>3906006.6086628465</v>
      </c>
      <c r="S131" s="82">
        <v>1605757</v>
      </c>
      <c r="T131" s="82">
        <v>152942.43</v>
      </c>
    </row>
    <row r="132" spans="1:20" ht="13.5" customHeight="1" x14ac:dyDescent="0.2">
      <c r="A132" s="97" t="s">
        <v>211</v>
      </c>
      <c r="B132" s="98">
        <v>56006</v>
      </c>
      <c r="C132" s="94">
        <v>221</v>
      </c>
      <c r="D132" s="94">
        <v>0</v>
      </c>
      <c r="E132" s="94">
        <f t="shared" si="17"/>
        <v>221</v>
      </c>
      <c r="F132" s="95">
        <v>2.75</v>
      </c>
      <c r="G132" s="95">
        <f t="shared" si="18"/>
        <v>11</v>
      </c>
      <c r="H132" s="100">
        <f t="shared" si="21"/>
        <v>12.157500000000001</v>
      </c>
      <c r="I132" s="100">
        <f t="shared" si="19"/>
        <v>18.178079374871476</v>
      </c>
      <c r="J132" s="100">
        <f t="shared" si="11"/>
        <v>0.22619782027555005</v>
      </c>
      <c r="K132" s="100">
        <f t="shared" si="12"/>
        <v>18.404277195147028</v>
      </c>
      <c r="L132" s="101">
        <f t="shared" si="13"/>
        <v>80038.849800000011</v>
      </c>
      <c r="M132" s="101">
        <f t="shared" si="14"/>
        <v>1473057.1780999384</v>
      </c>
      <c r="N132" s="101">
        <f t="shared" si="20"/>
        <v>571251.57366715604</v>
      </c>
      <c r="O132" s="96">
        <v>0</v>
      </c>
      <c r="P132" s="101">
        <f t="shared" si="15"/>
        <v>2044308.7517670945</v>
      </c>
      <c r="Q132" s="101">
        <v>0</v>
      </c>
      <c r="R132" s="101">
        <f t="shared" si="16"/>
        <v>2044308.7517670945</v>
      </c>
      <c r="S132" s="82">
        <v>1255827</v>
      </c>
      <c r="T132" s="82">
        <v>132933.56999999998</v>
      </c>
    </row>
    <row r="133" spans="1:20" ht="13.5" customHeight="1" x14ac:dyDescent="0.2">
      <c r="A133" s="97" t="s">
        <v>244</v>
      </c>
      <c r="B133" s="98">
        <v>56007</v>
      </c>
      <c r="C133" s="94">
        <v>374.1</v>
      </c>
      <c r="D133" s="94">
        <v>0</v>
      </c>
      <c r="E133" s="94">
        <f t="shared" si="17"/>
        <v>374.1</v>
      </c>
      <c r="F133" s="95">
        <v>4.25</v>
      </c>
      <c r="G133" s="95">
        <f t="shared" si="18"/>
        <v>17</v>
      </c>
      <c r="H133" s="100">
        <f t="shared" si="21"/>
        <v>13.30575</v>
      </c>
      <c r="I133" s="100">
        <f t="shared" si="19"/>
        <v>28.115664280480246</v>
      </c>
      <c r="J133" s="100">
        <f t="shared" ref="J133:J152" si="22">F133/H133</f>
        <v>0.319410781053304</v>
      </c>
      <c r="K133" s="100">
        <f t="shared" ref="K133:K152" si="23">I133+J133</f>
        <v>28.435075061533549</v>
      </c>
      <c r="L133" s="101">
        <f t="shared" ref="L133:L152" si="24">$L$4*1.29</f>
        <v>80038.849800000011</v>
      </c>
      <c r="M133" s="101">
        <f t="shared" ref="M133:M152" si="25">K133*L133</f>
        <v>2275910.7019018098</v>
      </c>
      <c r="N133" s="101">
        <f t="shared" si="20"/>
        <v>882598.1701975218</v>
      </c>
      <c r="O133" s="96">
        <v>0</v>
      </c>
      <c r="P133" s="101">
        <f t="shared" ref="P133:P152" si="26">M133+N133+O133</f>
        <v>3158508.8720993316</v>
      </c>
      <c r="Q133" s="101">
        <v>0</v>
      </c>
      <c r="R133" s="101">
        <f t="shared" ref="R133:R152" si="27">IF(Q133=0,P133,Q133)</f>
        <v>3158508.8720993316</v>
      </c>
      <c r="S133" s="82">
        <v>1373681</v>
      </c>
      <c r="T133" s="82">
        <v>144214.50999999998</v>
      </c>
    </row>
    <row r="134" spans="1:20" ht="13.5" customHeight="1" x14ac:dyDescent="0.2">
      <c r="A134" s="97" t="s">
        <v>266</v>
      </c>
      <c r="B134" s="98">
        <v>57001</v>
      </c>
      <c r="C134" s="94">
        <v>436.58</v>
      </c>
      <c r="D134" s="94">
        <v>0</v>
      </c>
      <c r="E134" s="94">
        <f t="shared" ref="E134:E152" si="28">SUM(C134:D134)</f>
        <v>436.58</v>
      </c>
      <c r="F134" s="95">
        <v>0.25</v>
      </c>
      <c r="G134" s="95">
        <f t="shared" ref="G134:G152" si="29">F134/0.25</f>
        <v>1</v>
      </c>
      <c r="H134" s="100">
        <f t="shared" si="21"/>
        <v>13.77435</v>
      </c>
      <c r="I134" s="100">
        <f t="shared" ref="I134:I152" si="30">(C134+D134)/H134</f>
        <v>31.695143509494095</v>
      </c>
      <c r="J134" s="100">
        <f t="shared" si="22"/>
        <v>1.8149676754257008E-2</v>
      </c>
      <c r="K134" s="100">
        <f t="shared" si="23"/>
        <v>31.71329318624835</v>
      </c>
      <c r="L134" s="101">
        <f t="shared" si="24"/>
        <v>80038.849800000011</v>
      </c>
      <c r="M134" s="101">
        <f t="shared" si="25"/>
        <v>2538295.5099974955</v>
      </c>
      <c r="N134" s="101">
        <f t="shared" ref="N134:N152" si="31">M134*0.3878</f>
        <v>984350.99877702864</v>
      </c>
      <c r="O134" s="96">
        <v>0</v>
      </c>
      <c r="P134" s="101">
        <f t="shared" si="26"/>
        <v>3522646.5087745241</v>
      </c>
      <c r="Q134" s="101">
        <v>0</v>
      </c>
      <c r="R134" s="101">
        <f t="shared" si="27"/>
        <v>3522646.5087745241</v>
      </c>
      <c r="S134" s="82">
        <v>1882607</v>
      </c>
      <c r="T134" s="82">
        <v>222015.07</v>
      </c>
    </row>
    <row r="135" spans="1:20" ht="13.5" customHeight="1" x14ac:dyDescent="0.2">
      <c r="A135" s="97" t="s">
        <v>144</v>
      </c>
      <c r="B135" s="98">
        <v>58003</v>
      </c>
      <c r="C135" s="94">
        <v>215.96</v>
      </c>
      <c r="D135" s="94">
        <v>0.1</v>
      </c>
      <c r="E135" s="94">
        <f t="shared" si="28"/>
        <v>216.06</v>
      </c>
      <c r="F135" s="95">
        <v>1</v>
      </c>
      <c r="G135" s="95">
        <f t="shared" si="29"/>
        <v>4</v>
      </c>
      <c r="H135" s="100">
        <f t="shared" ref="H135:H152" si="32">IF((C135+D135)&lt;200,12,IF((C135+D135)&gt;600,15,((C135+D135)*0.0075)+10.5))</f>
        <v>12.12045</v>
      </c>
      <c r="I135" s="100">
        <f t="shared" si="30"/>
        <v>17.826070814202442</v>
      </c>
      <c r="J135" s="100">
        <f t="shared" si="22"/>
        <v>8.2505187513664924E-2</v>
      </c>
      <c r="K135" s="100">
        <f t="shared" si="23"/>
        <v>17.908576001716106</v>
      </c>
      <c r="L135" s="101">
        <f t="shared" si="24"/>
        <v>80038.849800000011</v>
      </c>
      <c r="M135" s="101">
        <f t="shared" si="25"/>
        <v>1433381.8247332401</v>
      </c>
      <c r="N135" s="101">
        <f t="shared" si="31"/>
        <v>555865.47163155046</v>
      </c>
      <c r="O135" s="96">
        <v>0</v>
      </c>
      <c r="P135" s="101">
        <f t="shared" si="26"/>
        <v>1989247.2963647905</v>
      </c>
      <c r="Q135" s="101">
        <v>0</v>
      </c>
      <c r="R135" s="101">
        <f t="shared" si="27"/>
        <v>1989247.2963647905</v>
      </c>
      <c r="S135" s="82">
        <v>2287067</v>
      </c>
      <c r="T135" s="82">
        <v>420886.50000000006</v>
      </c>
    </row>
    <row r="136" spans="1:20" ht="13.5" customHeight="1" x14ac:dyDescent="0.2">
      <c r="A136" s="97" t="s">
        <v>288</v>
      </c>
      <c r="B136" s="98">
        <v>59002</v>
      </c>
      <c r="C136" s="94">
        <v>784</v>
      </c>
      <c r="D136" s="94">
        <v>0</v>
      </c>
      <c r="E136" s="94">
        <f t="shared" si="28"/>
        <v>784</v>
      </c>
      <c r="F136" s="95">
        <v>0</v>
      </c>
      <c r="G136" s="95">
        <f t="shared" si="29"/>
        <v>0</v>
      </c>
      <c r="H136" s="100">
        <f t="shared" si="32"/>
        <v>15</v>
      </c>
      <c r="I136" s="100">
        <f t="shared" si="30"/>
        <v>52.266666666666666</v>
      </c>
      <c r="J136" s="100">
        <f t="shared" si="22"/>
        <v>0</v>
      </c>
      <c r="K136" s="100">
        <f t="shared" si="23"/>
        <v>52.266666666666666</v>
      </c>
      <c r="L136" s="101">
        <f t="shared" si="24"/>
        <v>80038.849800000011</v>
      </c>
      <c r="M136" s="101">
        <f t="shared" si="25"/>
        <v>4183363.8828800004</v>
      </c>
      <c r="N136" s="101">
        <f t="shared" si="31"/>
        <v>1622308.513780864</v>
      </c>
      <c r="O136" s="96">
        <v>0</v>
      </c>
      <c r="P136" s="101">
        <f t="shared" si="26"/>
        <v>5805672.3966608644</v>
      </c>
      <c r="Q136" s="101">
        <v>0</v>
      </c>
      <c r="R136" s="101">
        <f t="shared" si="27"/>
        <v>5805672.3966608644</v>
      </c>
      <c r="S136" s="82">
        <v>1839181</v>
      </c>
      <c r="T136" s="82">
        <v>341068.73</v>
      </c>
    </row>
    <row r="137" spans="1:20" ht="13.5" customHeight="1" x14ac:dyDescent="0.2">
      <c r="A137" s="97" t="s">
        <v>171</v>
      </c>
      <c r="B137" s="98">
        <v>59003</v>
      </c>
      <c r="C137" s="94">
        <v>130.80000000000001</v>
      </c>
      <c r="D137" s="94">
        <v>0</v>
      </c>
      <c r="E137" s="94">
        <f t="shared" si="28"/>
        <v>130.80000000000001</v>
      </c>
      <c r="F137" s="95">
        <v>0</v>
      </c>
      <c r="G137" s="95">
        <f t="shared" si="29"/>
        <v>0</v>
      </c>
      <c r="H137" s="100">
        <f t="shared" si="32"/>
        <v>12</v>
      </c>
      <c r="I137" s="100">
        <f t="shared" si="30"/>
        <v>10.9</v>
      </c>
      <c r="J137" s="100">
        <f t="shared" si="22"/>
        <v>0</v>
      </c>
      <c r="K137" s="100">
        <f t="shared" si="23"/>
        <v>10.9</v>
      </c>
      <c r="L137" s="101">
        <f t="shared" si="24"/>
        <v>80038.849800000011</v>
      </c>
      <c r="M137" s="101">
        <f t="shared" si="25"/>
        <v>872423.46282000013</v>
      </c>
      <c r="N137" s="101">
        <f t="shared" si="31"/>
        <v>338325.81888159603</v>
      </c>
      <c r="O137" s="96">
        <v>0</v>
      </c>
      <c r="P137" s="101">
        <f t="shared" si="26"/>
        <v>1210749.2817015962</v>
      </c>
      <c r="Q137" s="101">
        <v>0</v>
      </c>
      <c r="R137" s="101">
        <f t="shared" si="27"/>
        <v>1210749.2817015962</v>
      </c>
      <c r="S137" s="82">
        <v>466021</v>
      </c>
      <c r="T137" s="82">
        <v>98915.209999999992</v>
      </c>
    </row>
    <row r="138" spans="1:20" ht="13.5" customHeight="1" x14ac:dyDescent="0.2">
      <c r="A138" s="97" t="s">
        <v>166</v>
      </c>
      <c r="B138" s="98">
        <v>60001</v>
      </c>
      <c r="C138" s="94">
        <v>252</v>
      </c>
      <c r="D138" s="94">
        <v>0</v>
      </c>
      <c r="E138" s="94">
        <f t="shared" si="28"/>
        <v>252</v>
      </c>
      <c r="F138" s="95">
        <v>0.25</v>
      </c>
      <c r="G138" s="95">
        <f t="shared" si="29"/>
        <v>1</v>
      </c>
      <c r="H138" s="100">
        <f t="shared" si="32"/>
        <v>12.39</v>
      </c>
      <c r="I138" s="100">
        <f t="shared" si="30"/>
        <v>20.338983050847457</v>
      </c>
      <c r="J138" s="100">
        <f t="shared" si="22"/>
        <v>2.0177562550443905E-2</v>
      </c>
      <c r="K138" s="100">
        <f t="shared" si="23"/>
        <v>20.359160613397901</v>
      </c>
      <c r="L138" s="101">
        <f t="shared" si="24"/>
        <v>80038.849800000011</v>
      </c>
      <c r="M138" s="101">
        <f t="shared" si="25"/>
        <v>1629523.7983898306</v>
      </c>
      <c r="N138" s="101">
        <f t="shared" si="31"/>
        <v>631929.32901557628</v>
      </c>
      <c r="O138" s="96">
        <v>0</v>
      </c>
      <c r="P138" s="101">
        <f t="shared" si="26"/>
        <v>2261453.1274054069</v>
      </c>
      <c r="Q138" s="101">
        <v>0</v>
      </c>
      <c r="R138" s="101">
        <f t="shared" si="27"/>
        <v>2261453.1274054069</v>
      </c>
      <c r="S138" s="82">
        <v>702184</v>
      </c>
      <c r="T138" s="82">
        <v>94504.43</v>
      </c>
    </row>
    <row r="139" spans="1:20" ht="13.5" customHeight="1" x14ac:dyDescent="0.2">
      <c r="A139" s="97" t="s">
        <v>230</v>
      </c>
      <c r="B139" s="98">
        <v>60003</v>
      </c>
      <c r="C139" s="94">
        <v>203</v>
      </c>
      <c r="D139" s="94">
        <v>0</v>
      </c>
      <c r="E139" s="94">
        <f t="shared" si="28"/>
        <v>203</v>
      </c>
      <c r="F139" s="95">
        <v>1.75</v>
      </c>
      <c r="G139" s="95">
        <f t="shared" si="29"/>
        <v>7</v>
      </c>
      <c r="H139" s="100">
        <f t="shared" si="32"/>
        <v>12.022500000000001</v>
      </c>
      <c r="I139" s="100">
        <f t="shared" si="30"/>
        <v>16.885007278020378</v>
      </c>
      <c r="J139" s="100">
        <f t="shared" si="22"/>
        <v>0.14556040756914118</v>
      </c>
      <c r="K139" s="100">
        <f t="shared" si="23"/>
        <v>17.030567685589521</v>
      </c>
      <c r="L139" s="101">
        <f t="shared" si="24"/>
        <v>80038.849800000011</v>
      </c>
      <c r="M139" s="101">
        <f t="shared" si="25"/>
        <v>1363107.0489956334</v>
      </c>
      <c r="N139" s="101">
        <f t="shared" si="31"/>
        <v>528612.91360050661</v>
      </c>
      <c r="O139" s="96">
        <v>0</v>
      </c>
      <c r="P139" s="101">
        <f t="shared" si="26"/>
        <v>1891719.9625961399</v>
      </c>
      <c r="Q139" s="101">
        <v>0</v>
      </c>
      <c r="R139" s="101">
        <f t="shared" si="27"/>
        <v>1891719.9625961399</v>
      </c>
      <c r="S139" s="82">
        <v>866371</v>
      </c>
      <c r="T139" s="82">
        <v>333772.59000000003</v>
      </c>
    </row>
    <row r="140" spans="1:20" ht="13.5" customHeight="1" x14ac:dyDescent="0.2">
      <c r="A140" s="97" t="s">
        <v>248</v>
      </c>
      <c r="B140" s="98">
        <v>60004</v>
      </c>
      <c r="C140" s="94">
        <v>453.78</v>
      </c>
      <c r="D140" s="94">
        <v>0</v>
      </c>
      <c r="E140" s="94">
        <f t="shared" si="28"/>
        <v>453.78</v>
      </c>
      <c r="F140" s="95">
        <v>3</v>
      </c>
      <c r="G140" s="95">
        <f t="shared" si="29"/>
        <v>12</v>
      </c>
      <c r="H140" s="100">
        <f t="shared" si="32"/>
        <v>13.90335</v>
      </c>
      <c r="I140" s="100">
        <f t="shared" si="30"/>
        <v>32.63817712997227</v>
      </c>
      <c r="J140" s="100">
        <f t="shared" si="22"/>
        <v>0.21577533472148799</v>
      </c>
      <c r="K140" s="100">
        <f t="shared" si="23"/>
        <v>32.853952464693755</v>
      </c>
      <c r="L140" s="101">
        <f t="shared" si="24"/>
        <v>80038.849800000011</v>
      </c>
      <c r="M140" s="101">
        <f t="shared" si="25"/>
        <v>2629592.5666579637</v>
      </c>
      <c r="N140" s="101">
        <f t="shared" si="31"/>
        <v>1019755.9973499583</v>
      </c>
      <c r="O140" s="96">
        <v>0</v>
      </c>
      <c r="P140" s="101">
        <f t="shared" si="26"/>
        <v>3649348.5640079221</v>
      </c>
      <c r="Q140" s="101">
        <v>0</v>
      </c>
      <c r="R140" s="101">
        <f t="shared" si="27"/>
        <v>3649348.5640079221</v>
      </c>
      <c r="S140" s="82">
        <v>1150672</v>
      </c>
      <c r="T140" s="82">
        <v>152608.20000000001</v>
      </c>
    </row>
    <row r="141" spans="1:20" ht="13.5" customHeight="1" x14ac:dyDescent="0.2">
      <c r="A141" s="97" t="s">
        <v>274</v>
      </c>
      <c r="B141" s="98">
        <v>60006</v>
      </c>
      <c r="C141" s="94">
        <v>389.28</v>
      </c>
      <c r="D141" s="94">
        <v>0</v>
      </c>
      <c r="E141" s="94">
        <f t="shared" si="28"/>
        <v>389.28</v>
      </c>
      <c r="F141" s="95">
        <v>4.25</v>
      </c>
      <c r="G141" s="95">
        <f t="shared" si="29"/>
        <v>17</v>
      </c>
      <c r="H141" s="100">
        <f t="shared" si="32"/>
        <v>13.419599999999999</v>
      </c>
      <c r="I141" s="100">
        <f t="shared" si="30"/>
        <v>29.008316194223376</v>
      </c>
      <c r="J141" s="100">
        <f t="shared" si="22"/>
        <v>0.31670094488658385</v>
      </c>
      <c r="K141" s="100">
        <f t="shared" si="23"/>
        <v>29.32501713910996</v>
      </c>
      <c r="L141" s="101">
        <f t="shared" si="24"/>
        <v>80038.849800000011</v>
      </c>
      <c r="M141" s="101">
        <f t="shared" si="25"/>
        <v>2347140.6421796479</v>
      </c>
      <c r="N141" s="101">
        <f t="shared" si="31"/>
        <v>910221.1410372674</v>
      </c>
      <c r="O141" s="96">
        <v>0</v>
      </c>
      <c r="P141" s="101">
        <f t="shared" si="26"/>
        <v>3257361.7832169151</v>
      </c>
      <c r="Q141" s="101">
        <v>0</v>
      </c>
      <c r="R141" s="101">
        <f t="shared" si="27"/>
        <v>3257361.7832169151</v>
      </c>
      <c r="S141" s="82">
        <v>1143969</v>
      </c>
      <c r="T141" s="82">
        <v>188315.90999999997</v>
      </c>
    </row>
    <row r="142" spans="1:20" ht="13.5" customHeight="1" x14ac:dyDescent="0.2">
      <c r="A142" s="97" t="s">
        <v>145</v>
      </c>
      <c r="B142" s="98">
        <v>61001</v>
      </c>
      <c r="C142" s="94">
        <v>319</v>
      </c>
      <c r="D142" s="94">
        <v>0</v>
      </c>
      <c r="E142" s="94">
        <f t="shared" si="28"/>
        <v>319</v>
      </c>
      <c r="F142" s="95">
        <v>0.75</v>
      </c>
      <c r="G142" s="95">
        <f t="shared" si="29"/>
        <v>3</v>
      </c>
      <c r="H142" s="100">
        <f t="shared" si="32"/>
        <v>12.8925</v>
      </c>
      <c r="I142" s="100">
        <f t="shared" si="30"/>
        <v>24.743067675004848</v>
      </c>
      <c r="J142" s="100">
        <f t="shared" si="22"/>
        <v>5.8173356602675974E-2</v>
      </c>
      <c r="K142" s="100">
        <f t="shared" si="23"/>
        <v>24.801241031607525</v>
      </c>
      <c r="L142" s="101">
        <f t="shared" si="24"/>
        <v>80038.849800000011</v>
      </c>
      <c r="M142" s="101">
        <f t="shared" si="25"/>
        <v>1985062.805782432</v>
      </c>
      <c r="N142" s="101">
        <f t="shared" si="31"/>
        <v>769807.35608242708</v>
      </c>
      <c r="O142" s="96">
        <v>0</v>
      </c>
      <c r="P142" s="101">
        <f t="shared" si="26"/>
        <v>2754870.1618648591</v>
      </c>
      <c r="Q142" s="101">
        <v>0</v>
      </c>
      <c r="R142" s="101">
        <f t="shared" si="27"/>
        <v>2754870.1618648591</v>
      </c>
      <c r="S142" s="82">
        <v>1132472</v>
      </c>
      <c r="T142" s="82">
        <v>160100.09</v>
      </c>
    </row>
    <row r="143" spans="1:20" ht="13.5" customHeight="1" x14ac:dyDescent="0.2">
      <c r="A143" s="97" t="s">
        <v>153</v>
      </c>
      <c r="B143" s="98">
        <v>61002</v>
      </c>
      <c r="C143" s="94">
        <v>650.72</v>
      </c>
      <c r="D143" s="94">
        <v>0.1</v>
      </c>
      <c r="E143" s="94">
        <f t="shared" si="28"/>
        <v>650.82000000000005</v>
      </c>
      <c r="F143" s="95">
        <v>6.5</v>
      </c>
      <c r="G143" s="95">
        <f t="shared" si="29"/>
        <v>26</v>
      </c>
      <c r="H143" s="100">
        <f t="shared" si="32"/>
        <v>15</v>
      </c>
      <c r="I143" s="100">
        <f t="shared" si="30"/>
        <v>43.388000000000005</v>
      </c>
      <c r="J143" s="100">
        <f t="shared" si="22"/>
        <v>0.43333333333333335</v>
      </c>
      <c r="K143" s="100">
        <f t="shared" si="23"/>
        <v>43.821333333333335</v>
      </c>
      <c r="L143" s="101">
        <f t="shared" si="24"/>
        <v>80038.849800000011</v>
      </c>
      <c r="M143" s="101">
        <f t="shared" si="25"/>
        <v>3507409.1167024006</v>
      </c>
      <c r="N143" s="101">
        <f t="shared" si="31"/>
        <v>1360173.2554571908</v>
      </c>
      <c r="O143" s="96">
        <v>0</v>
      </c>
      <c r="P143" s="101">
        <f t="shared" si="26"/>
        <v>4867582.3721595909</v>
      </c>
      <c r="Q143" s="101">
        <v>0</v>
      </c>
      <c r="R143" s="101">
        <f t="shared" si="27"/>
        <v>4867582.3721595909</v>
      </c>
      <c r="S143" s="82">
        <v>1798572</v>
      </c>
      <c r="T143" s="82">
        <v>210181.19</v>
      </c>
    </row>
    <row r="144" spans="1:20" ht="13.5" customHeight="1" x14ac:dyDescent="0.2">
      <c r="A144" s="97" t="s">
        <v>186</v>
      </c>
      <c r="B144" s="98">
        <v>61007</v>
      </c>
      <c r="C144" s="94">
        <v>697</v>
      </c>
      <c r="D144" s="94">
        <v>0.1</v>
      </c>
      <c r="E144" s="94">
        <f t="shared" si="28"/>
        <v>697.1</v>
      </c>
      <c r="F144" s="95">
        <v>0.75</v>
      </c>
      <c r="G144" s="95">
        <f t="shared" si="29"/>
        <v>3</v>
      </c>
      <c r="H144" s="100">
        <f t="shared" si="32"/>
        <v>15</v>
      </c>
      <c r="I144" s="100">
        <f t="shared" si="30"/>
        <v>46.473333333333336</v>
      </c>
      <c r="J144" s="100">
        <f t="shared" si="22"/>
        <v>0.05</v>
      </c>
      <c r="K144" s="100">
        <f t="shared" si="23"/>
        <v>46.523333333333333</v>
      </c>
      <c r="L144" s="101">
        <f t="shared" si="24"/>
        <v>80038.849800000011</v>
      </c>
      <c r="M144" s="101">
        <f t="shared" si="25"/>
        <v>3723674.0888620005</v>
      </c>
      <c r="N144" s="101">
        <f t="shared" si="31"/>
        <v>1444040.8116606837</v>
      </c>
      <c r="O144" s="96">
        <v>0</v>
      </c>
      <c r="P144" s="101">
        <f t="shared" si="26"/>
        <v>5167714.9005226847</v>
      </c>
      <c r="Q144" s="101">
        <v>0</v>
      </c>
      <c r="R144" s="101">
        <f t="shared" si="27"/>
        <v>5167714.9005226847</v>
      </c>
      <c r="S144" s="82">
        <v>1681758</v>
      </c>
      <c r="T144" s="82">
        <v>235498.81</v>
      </c>
    </row>
    <row r="145" spans="1:20" ht="13.5" customHeight="1" x14ac:dyDescent="0.2">
      <c r="A145" s="97" t="s">
        <v>174</v>
      </c>
      <c r="B145" s="98">
        <v>61008</v>
      </c>
      <c r="C145" s="94">
        <v>1339.04</v>
      </c>
      <c r="D145" s="94">
        <v>0</v>
      </c>
      <c r="E145" s="94">
        <f t="shared" si="28"/>
        <v>1339.04</v>
      </c>
      <c r="F145" s="95">
        <v>12.25</v>
      </c>
      <c r="G145" s="95">
        <f t="shared" si="29"/>
        <v>49</v>
      </c>
      <c r="H145" s="100">
        <f t="shared" si="32"/>
        <v>15</v>
      </c>
      <c r="I145" s="100">
        <f t="shared" si="30"/>
        <v>89.269333333333336</v>
      </c>
      <c r="J145" s="100">
        <f t="shared" si="22"/>
        <v>0.81666666666666665</v>
      </c>
      <c r="K145" s="100">
        <f t="shared" si="23"/>
        <v>90.085999999999999</v>
      </c>
      <c r="L145" s="101">
        <f t="shared" si="24"/>
        <v>80038.849800000011</v>
      </c>
      <c r="M145" s="101">
        <f t="shared" si="25"/>
        <v>7210379.823082801</v>
      </c>
      <c r="N145" s="101">
        <f t="shared" si="31"/>
        <v>2796185.2953915102</v>
      </c>
      <c r="O145" s="96">
        <v>0</v>
      </c>
      <c r="P145" s="101">
        <f t="shared" si="26"/>
        <v>10006565.118474312</v>
      </c>
      <c r="Q145" s="101">
        <v>0</v>
      </c>
      <c r="R145" s="101">
        <f t="shared" si="27"/>
        <v>10006565.118474312</v>
      </c>
      <c r="S145" s="82">
        <v>4849623</v>
      </c>
      <c r="T145" s="82">
        <v>343089.80000000005</v>
      </c>
    </row>
    <row r="146" spans="1:20" ht="13.5" customHeight="1" x14ac:dyDescent="0.2">
      <c r="A146" s="97" t="s">
        <v>294</v>
      </c>
      <c r="B146" s="98">
        <v>62005</v>
      </c>
      <c r="C146" s="94">
        <v>181</v>
      </c>
      <c r="D146" s="94">
        <v>0</v>
      </c>
      <c r="E146" s="94">
        <f t="shared" si="28"/>
        <v>181</v>
      </c>
      <c r="F146" s="95">
        <v>0.5</v>
      </c>
      <c r="G146" s="95">
        <f t="shared" si="29"/>
        <v>2</v>
      </c>
      <c r="H146" s="100">
        <f t="shared" si="32"/>
        <v>12</v>
      </c>
      <c r="I146" s="100">
        <f t="shared" si="30"/>
        <v>15.083333333333334</v>
      </c>
      <c r="J146" s="100">
        <f t="shared" si="22"/>
        <v>4.1666666666666664E-2</v>
      </c>
      <c r="K146" s="100">
        <f t="shared" si="23"/>
        <v>15.125</v>
      </c>
      <c r="L146" s="101">
        <f t="shared" si="24"/>
        <v>80038.849800000011</v>
      </c>
      <c r="M146" s="101">
        <f t="shared" si="25"/>
        <v>1210587.6032250002</v>
      </c>
      <c r="N146" s="101">
        <f t="shared" si="31"/>
        <v>469465.87253065506</v>
      </c>
      <c r="O146" s="96">
        <v>0</v>
      </c>
      <c r="P146" s="101">
        <f t="shared" si="26"/>
        <v>1680053.4757556552</v>
      </c>
      <c r="Q146" s="101">
        <v>0</v>
      </c>
      <c r="R146" s="101">
        <f t="shared" si="27"/>
        <v>1680053.4757556552</v>
      </c>
      <c r="S146" s="82">
        <v>1197013</v>
      </c>
      <c r="T146" s="82">
        <v>153540.79</v>
      </c>
    </row>
    <row r="147" spans="1:20" ht="13.5" customHeight="1" x14ac:dyDescent="0.2">
      <c r="A147" s="97" t="s">
        <v>239</v>
      </c>
      <c r="B147" s="98">
        <v>62006</v>
      </c>
      <c r="C147" s="94">
        <v>598.72</v>
      </c>
      <c r="D147" s="94">
        <v>0.1</v>
      </c>
      <c r="E147" s="94">
        <f t="shared" si="28"/>
        <v>598.82000000000005</v>
      </c>
      <c r="F147" s="95">
        <v>0</v>
      </c>
      <c r="G147" s="95">
        <f t="shared" si="29"/>
        <v>0</v>
      </c>
      <c r="H147" s="100">
        <f t="shared" si="32"/>
        <v>14.991150000000001</v>
      </c>
      <c r="I147" s="100">
        <f t="shared" si="30"/>
        <v>39.944900824819975</v>
      </c>
      <c r="J147" s="100">
        <f t="shared" si="22"/>
        <v>0</v>
      </c>
      <c r="K147" s="100">
        <f t="shared" si="23"/>
        <v>39.944900824819975</v>
      </c>
      <c r="L147" s="101">
        <f t="shared" si="24"/>
        <v>80038.849800000011</v>
      </c>
      <c r="M147" s="101">
        <f t="shared" si="25"/>
        <v>3197143.9173936625</v>
      </c>
      <c r="N147" s="101">
        <f t="shared" si="31"/>
        <v>1239852.4111652623</v>
      </c>
      <c r="O147" s="96">
        <v>0</v>
      </c>
      <c r="P147" s="101">
        <f t="shared" si="26"/>
        <v>4436996.3285589246</v>
      </c>
      <c r="Q147" s="101">
        <v>0</v>
      </c>
      <c r="R147" s="101">
        <f t="shared" si="27"/>
        <v>4436996.3285589246</v>
      </c>
      <c r="S147" s="82">
        <v>1255886</v>
      </c>
      <c r="T147" s="82">
        <v>396326.57</v>
      </c>
    </row>
    <row r="148" spans="1:20" ht="13.5" customHeight="1" x14ac:dyDescent="0.2">
      <c r="A148" s="97" t="s">
        <v>198</v>
      </c>
      <c r="B148" s="98">
        <v>63001</v>
      </c>
      <c r="C148" s="94">
        <v>255</v>
      </c>
      <c r="D148" s="94">
        <v>0</v>
      </c>
      <c r="E148" s="94">
        <f t="shared" si="28"/>
        <v>255</v>
      </c>
      <c r="F148" s="95">
        <v>0.25</v>
      </c>
      <c r="G148" s="95">
        <f t="shared" si="29"/>
        <v>1</v>
      </c>
      <c r="H148" s="100">
        <f t="shared" si="32"/>
        <v>12.4125</v>
      </c>
      <c r="I148" s="100">
        <f t="shared" si="30"/>
        <v>20.543806646525681</v>
      </c>
      <c r="J148" s="100">
        <f t="shared" si="22"/>
        <v>2.014098690835851E-2</v>
      </c>
      <c r="K148" s="100">
        <f t="shared" si="23"/>
        <v>20.56394763343404</v>
      </c>
      <c r="L148" s="101">
        <f t="shared" si="24"/>
        <v>80038.849800000011</v>
      </c>
      <c r="M148" s="101">
        <f t="shared" si="25"/>
        <v>1645914.7159274928</v>
      </c>
      <c r="N148" s="101">
        <f t="shared" si="31"/>
        <v>638285.72683668172</v>
      </c>
      <c r="O148" s="96">
        <v>0</v>
      </c>
      <c r="P148" s="101">
        <f t="shared" si="26"/>
        <v>2284200.4427641747</v>
      </c>
      <c r="Q148" s="101">
        <v>0</v>
      </c>
      <c r="R148" s="101">
        <f t="shared" si="27"/>
        <v>2284200.4427641747</v>
      </c>
      <c r="S148" s="82">
        <v>317492</v>
      </c>
      <c r="T148" s="82">
        <v>84100.91</v>
      </c>
    </row>
    <row r="149" spans="1:20" ht="13.5" customHeight="1" x14ac:dyDescent="0.2">
      <c r="A149" s="97" t="s">
        <v>291</v>
      </c>
      <c r="B149" s="98">
        <v>63003</v>
      </c>
      <c r="C149" s="94">
        <v>2841.58</v>
      </c>
      <c r="D149" s="94">
        <v>0.30000000000000004</v>
      </c>
      <c r="E149" s="94">
        <f t="shared" si="28"/>
        <v>2841.88</v>
      </c>
      <c r="F149" s="95">
        <v>28.5</v>
      </c>
      <c r="G149" s="95">
        <f t="shared" si="29"/>
        <v>114</v>
      </c>
      <c r="H149" s="100">
        <f t="shared" si="32"/>
        <v>15</v>
      </c>
      <c r="I149" s="100">
        <f t="shared" si="30"/>
        <v>189.45866666666669</v>
      </c>
      <c r="J149" s="100">
        <f t="shared" si="22"/>
        <v>1.9</v>
      </c>
      <c r="K149" s="100">
        <f t="shared" si="23"/>
        <v>191.35866666666669</v>
      </c>
      <c r="L149" s="101">
        <f t="shared" si="24"/>
        <v>80038.849800000011</v>
      </c>
      <c r="M149" s="101">
        <f t="shared" si="25"/>
        <v>15316127.579261605</v>
      </c>
      <c r="N149" s="101">
        <f t="shared" si="31"/>
        <v>5939594.2752376497</v>
      </c>
      <c r="O149" s="96">
        <v>0</v>
      </c>
      <c r="P149" s="101">
        <f t="shared" si="26"/>
        <v>21255721.854499254</v>
      </c>
      <c r="Q149" s="101">
        <v>0</v>
      </c>
      <c r="R149" s="101">
        <f t="shared" si="27"/>
        <v>21255721.854499254</v>
      </c>
      <c r="S149" s="82">
        <v>7336131</v>
      </c>
      <c r="T149" s="82">
        <v>1002326.46</v>
      </c>
    </row>
    <row r="150" spans="1:20" ht="13.5" customHeight="1" x14ac:dyDescent="0.2">
      <c r="A150" s="97" t="s">
        <v>181</v>
      </c>
      <c r="B150" s="98">
        <v>64002</v>
      </c>
      <c r="C150" s="94">
        <v>350.3</v>
      </c>
      <c r="D150" s="94">
        <v>0</v>
      </c>
      <c r="E150" s="94">
        <f t="shared" si="28"/>
        <v>350.3</v>
      </c>
      <c r="F150" s="95">
        <v>0</v>
      </c>
      <c r="G150" s="95">
        <f t="shared" si="29"/>
        <v>0</v>
      </c>
      <c r="H150" s="100">
        <f t="shared" si="32"/>
        <v>13.12725</v>
      </c>
      <c r="I150" s="100">
        <f t="shared" si="30"/>
        <v>26.684949246795789</v>
      </c>
      <c r="J150" s="100">
        <f t="shared" si="22"/>
        <v>0</v>
      </c>
      <c r="K150" s="100">
        <f t="shared" si="23"/>
        <v>26.684949246795789</v>
      </c>
      <c r="L150" s="101">
        <f t="shared" si="24"/>
        <v>80038.849800000011</v>
      </c>
      <c r="M150" s="101">
        <f t="shared" si="25"/>
        <v>2135832.6446849117</v>
      </c>
      <c r="N150" s="101">
        <f t="shared" si="31"/>
        <v>828275.89960880869</v>
      </c>
      <c r="O150" s="96">
        <v>0</v>
      </c>
      <c r="P150" s="101">
        <f t="shared" si="26"/>
        <v>2964108.5442937203</v>
      </c>
      <c r="Q150" s="101">
        <v>0</v>
      </c>
      <c r="R150" s="101">
        <f t="shared" si="27"/>
        <v>2964108.5442937203</v>
      </c>
      <c r="S150" s="82">
        <v>343990</v>
      </c>
      <c r="T150" s="82">
        <v>99401.62</v>
      </c>
    </row>
    <row r="151" spans="1:20" ht="13.5" customHeight="1" x14ac:dyDescent="0.2">
      <c r="A151" s="97" t="s">
        <v>295</v>
      </c>
      <c r="B151" s="98">
        <v>65001</v>
      </c>
      <c r="C151" s="94">
        <v>1632.22</v>
      </c>
      <c r="D151" s="94">
        <v>0.1</v>
      </c>
      <c r="E151" s="94">
        <f t="shared" si="28"/>
        <v>1632.32</v>
      </c>
      <c r="F151" s="95">
        <v>0.5</v>
      </c>
      <c r="G151" s="95">
        <f t="shared" si="29"/>
        <v>2</v>
      </c>
      <c r="H151" s="100">
        <f t="shared" si="32"/>
        <v>15</v>
      </c>
      <c r="I151" s="100">
        <f t="shared" si="30"/>
        <v>108.82133333333333</v>
      </c>
      <c r="J151" s="100">
        <f t="shared" si="22"/>
        <v>3.3333333333333333E-2</v>
      </c>
      <c r="K151" s="100">
        <f t="shared" si="23"/>
        <v>108.85466666666666</v>
      </c>
      <c r="L151" s="101">
        <f t="shared" si="24"/>
        <v>80038.849800000011</v>
      </c>
      <c r="M151" s="101">
        <f t="shared" si="25"/>
        <v>8712602.3153624013</v>
      </c>
      <c r="N151" s="101">
        <f t="shared" si="31"/>
        <v>3378747.177897539</v>
      </c>
      <c r="O151" s="96">
        <v>0</v>
      </c>
      <c r="P151" s="101">
        <f t="shared" si="26"/>
        <v>12091349.49325994</v>
      </c>
      <c r="Q151" s="101">
        <v>0</v>
      </c>
      <c r="R151" s="101">
        <f t="shared" si="27"/>
        <v>12091349.49325994</v>
      </c>
      <c r="S151" s="82">
        <v>162491</v>
      </c>
      <c r="T151" s="82">
        <v>396775.32</v>
      </c>
    </row>
    <row r="152" spans="1:20" ht="13.5" customHeight="1" x14ac:dyDescent="0.2">
      <c r="A152" s="97" t="s">
        <v>270</v>
      </c>
      <c r="B152" s="98">
        <v>66001</v>
      </c>
      <c r="C152" s="94">
        <v>1988.1</v>
      </c>
      <c r="D152" s="94">
        <v>0</v>
      </c>
      <c r="E152" s="94">
        <f t="shared" si="28"/>
        <v>1988.1</v>
      </c>
      <c r="F152" s="95">
        <v>3.25</v>
      </c>
      <c r="G152" s="95">
        <f t="shared" si="29"/>
        <v>13</v>
      </c>
      <c r="H152" s="100">
        <f t="shared" si="32"/>
        <v>15</v>
      </c>
      <c r="I152" s="100">
        <f t="shared" si="30"/>
        <v>132.54</v>
      </c>
      <c r="J152" s="100">
        <f t="shared" si="22"/>
        <v>0.21666666666666667</v>
      </c>
      <c r="K152" s="100">
        <f t="shared" si="23"/>
        <v>132.75666666666666</v>
      </c>
      <c r="L152" s="101">
        <f t="shared" si="24"/>
        <v>80038.849800000011</v>
      </c>
      <c r="M152" s="101">
        <f t="shared" si="25"/>
        <v>10625690.903282002</v>
      </c>
      <c r="N152" s="101">
        <f t="shared" si="31"/>
        <v>4120642.9322927599</v>
      </c>
      <c r="O152" s="96">
        <v>18572</v>
      </c>
      <c r="P152" s="101">
        <f t="shared" si="26"/>
        <v>14764905.835574761</v>
      </c>
      <c r="Q152" s="101">
        <v>0</v>
      </c>
      <c r="R152" s="101">
        <f t="shared" si="27"/>
        <v>14764905.835574761</v>
      </c>
      <c r="S152" s="82">
        <v>379923</v>
      </c>
      <c r="T152" s="82">
        <v>396914.51</v>
      </c>
    </row>
    <row r="153" spans="1:20" x14ac:dyDescent="0.2">
      <c r="A153" s="102"/>
      <c r="B153" s="102"/>
      <c r="C153" s="99">
        <f>SUM(C6:C152)</f>
        <v>137721.49</v>
      </c>
      <c r="D153" s="99">
        <f>SUM(D6:D152)</f>
        <v>9.7999999999999989</v>
      </c>
      <c r="E153" s="99">
        <f>SUM(E6:E152)</f>
        <v>137731.28999999998</v>
      </c>
      <c r="F153" s="100">
        <f>SUM(F6:F152)</f>
        <v>1373.5</v>
      </c>
      <c r="G153" s="99">
        <f>SUM(G6:G152)</f>
        <v>5494</v>
      </c>
      <c r="H153" s="103"/>
      <c r="I153" s="100">
        <f>SUM(I6:I152)</f>
        <v>9487.5065199266355</v>
      </c>
      <c r="J153" s="103"/>
      <c r="K153" s="100">
        <f>SUM(K6:K152)</f>
        <v>9581.3303091097259</v>
      </c>
      <c r="L153" s="101"/>
      <c r="M153" s="103"/>
      <c r="N153" s="103"/>
      <c r="O153" s="101">
        <f>SUM(O6:O152)</f>
        <v>237084</v>
      </c>
      <c r="P153" s="101">
        <f>SUM(P6:P152)</f>
        <v>1064511284.8715906</v>
      </c>
      <c r="Q153" s="101">
        <f t="shared" ref="Q153:R153" si="33">SUM(Q6:Q152)</f>
        <v>769652.39312500006</v>
      </c>
      <c r="R153" s="101">
        <f t="shared" si="33"/>
        <v>1064230325.3115571</v>
      </c>
      <c r="S153" s="105">
        <f>SUM(S6:S152)</f>
        <v>424782492</v>
      </c>
      <c r="T153" s="105">
        <f>SUM(T6:T152)</f>
        <v>52315119.099999987</v>
      </c>
    </row>
    <row r="154" spans="1:20" ht="13.5" thickBot="1" x14ac:dyDescent="0.25">
      <c r="A154" s="104"/>
      <c r="B154" s="104"/>
      <c r="C154" s="236"/>
      <c r="D154" s="105"/>
      <c r="E154" s="105"/>
    </row>
    <row r="155" spans="1:20" s="111" customFormat="1" ht="14.25" thickTop="1" thickBot="1" x14ac:dyDescent="0.25">
      <c r="A155" s="106" t="s">
        <v>363</v>
      </c>
      <c r="B155" s="106" t="s">
        <v>140</v>
      </c>
      <c r="C155" s="237">
        <v>34</v>
      </c>
      <c r="D155" s="107"/>
      <c r="E155" s="107"/>
      <c r="F155" s="108"/>
      <c r="G155" s="108"/>
      <c r="H155" s="108"/>
      <c r="I155" s="108"/>
      <c r="J155" s="108"/>
      <c r="K155" s="109" t="s">
        <v>140</v>
      </c>
      <c r="L155" s="110"/>
      <c r="M155" s="110"/>
      <c r="N155" s="110"/>
      <c r="O155" s="110"/>
      <c r="P155" s="110"/>
      <c r="Q155" s="110"/>
      <c r="R155" s="110">
        <f>ROUND(C155*7405.19,0)</f>
        <v>251776</v>
      </c>
    </row>
    <row r="156" spans="1:20" ht="13.5" thickTop="1" x14ac:dyDescent="0.2"/>
    <row r="157" spans="1:20" x14ac:dyDescent="0.2">
      <c r="C157" s="105"/>
      <c r="D157" s="105"/>
      <c r="E157" s="105"/>
      <c r="H157" s="83"/>
    </row>
    <row r="158" spans="1:20" x14ac:dyDescent="0.2">
      <c r="C158" s="105"/>
      <c r="D158" s="105"/>
      <c r="E158" s="105"/>
      <c r="S158" s="105"/>
      <c r="T158" s="105"/>
    </row>
    <row r="159" spans="1:20" ht="13.5" customHeight="1" x14ac:dyDescent="0.2">
      <c r="A159" s="97" t="s">
        <v>256</v>
      </c>
      <c r="B159" s="98">
        <v>39004</v>
      </c>
      <c r="C159" s="99"/>
      <c r="D159" s="99">
        <v>0</v>
      </c>
      <c r="E159" s="99"/>
      <c r="F159" s="100">
        <v>2</v>
      </c>
      <c r="G159" s="238"/>
    </row>
    <row r="160" spans="1:20" ht="13.5" customHeight="1" x14ac:dyDescent="0.2">
      <c r="A160" s="97" t="s">
        <v>247</v>
      </c>
      <c r="B160" s="98">
        <v>39005</v>
      </c>
      <c r="C160" s="94"/>
      <c r="D160" s="94">
        <v>0</v>
      </c>
      <c r="E160" s="94"/>
      <c r="F160" s="100">
        <v>5.75</v>
      </c>
      <c r="G160" s="238"/>
    </row>
    <row r="162" spans="3:3" x14ac:dyDescent="0.2">
      <c r="C162" s="105"/>
    </row>
    <row r="164" spans="3:3" x14ac:dyDescent="0.2">
      <c r="C164" s="105"/>
    </row>
  </sheetData>
  <sheetProtection algorithmName="SHA-512" hashValue="xMUCHp4ii6pE7uFRLxIOHy3lp77P5IlXUiF+Q5xPZ8NV5K0FbT6k3oYDnuGYcalLVH5/1bIUDxBQ0Jzj34H53w==" saltValue="ZSRY2BGwuLzAM6O7S9anzg==" spinCount="100000" sheet="1" objects="1" scenarios="1"/>
  <pageMargins left="0.25" right="0.25" top="0.39" bottom="0.45" header="0.17" footer="0.16"/>
  <pageSetup scale="70" fitToHeight="0" orientation="landscape" cellComments="asDisplayed" r:id="rId1"/>
  <headerFooter alignWithMargins="0">
    <oddHeader xml:space="preserve">&amp;C&amp;"Lucida Sans Unicode,Regular"&amp;14
</oddHeader>
    <oddFooter>&amp;C&amp;"Ebrima,Regular"&amp;9&amp;P&amp;R&amp;"Arial Unicode MS,Regular"&amp;8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GSA Estimate Calculator</vt:lpstr>
      <vt:lpstr>COMPARE</vt:lpstr>
      <vt:lpstr>SAFE History</vt:lpstr>
      <vt:lpstr>DistrictList</vt:lpstr>
      <vt:lpstr>OtherRevenueLocalEffortFY26</vt:lpstr>
      <vt:lpstr>Pay 2025</vt:lpstr>
      <vt:lpstr>OthCounts</vt:lpstr>
      <vt:lpstr>FY2025</vt:lpstr>
      <vt:lpstr>District</vt:lpstr>
      <vt:lpstr>COMPARE!Print_Area</vt:lpstr>
      <vt:lpstr>'FY2025'!Print_Area</vt:lpstr>
      <vt:lpstr>'GSA Estimate Calculator'!Print_Area</vt:lpstr>
      <vt:lpstr>OtherRevenueLocalEffortFY26!Print_Area</vt:lpstr>
      <vt:lpstr>'SAFE History'!Print_Area</vt:lpstr>
      <vt:lpstr>'FY2025'!Print_Titles</vt:lpstr>
      <vt:lpstr>OtherRevenueLocalEffortFY26!Print_Titles</vt:lpstr>
      <vt:lpstr>'SAFE History'!Print_Titles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Leiferman, Bobbi</dc:creator>
  <cp:lastModifiedBy>Leiferman, Bobbi</cp:lastModifiedBy>
  <cp:lastPrinted>2025-01-28T17:26:12Z</cp:lastPrinted>
  <dcterms:created xsi:type="dcterms:W3CDTF">2015-01-14T17:01:32Z</dcterms:created>
  <dcterms:modified xsi:type="dcterms:W3CDTF">2025-03-17T13:27:50Z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2025-03-14T21:39:55Z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89583df0-40a0-40cd-9a01-02a12d4f1814</vt:lpwstr>
  </property>
  <property fmtid="{D5CDD505-2E9C-101B-9397-08002B2CF9AE}" pid="8" name="MSIP_Label_ec3b1a8e-41ed-4bc7-92d1-0305fbefd661_ContentBits">
    <vt:lpwstr>0</vt:lpwstr>
  </property>
</Properties>
</file>